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fitnexus.sharepoint.com/sites/FC/Shared Documents/02_事業計画書/"/>
    </mc:Choice>
  </mc:AlternateContent>
  <xr:revisionPtr revIDLastSave="115" documentId="8_{E8FF2CAE-EF0B-4132-9716-6C1AB2224F04}" xr6:coauthVersionLast="47" xr6:coauthVersionMax="47" xr10:uidLastSave="{A4B28942-7F4B-43B6-960C-E6637FA32096}"/>
  <bookViews>
    <workbookView xWindow="28680" yWindow="-120" windowWidth="29040" windowHeight="15720" tabRatio="788" xr2:uid="{4492A4F4-7A9B-46E8-823A-18C592E1A6D3}"/>
  </bookViews>
  <sheets>
    <sheet name="各種シミュレーション" sheetId="73" r:id="rId1"/>
    <sheet name="投資概要" sheetId="46" r:id="rId2"/>
    <sheet name="損益計算｜詳細" sheetId="52" r:id="rId3"/>
    <sheet name="損益計算｜概要【年次】" sheetId="61" r:id="rId4"/>
    <sheet name="損益計算｜概要【月次平均】" sheetId="71" r:id="rId5"/>
    <sheet name="集客計画" sheetId="62" r:id="rId6"/>
  </sheets>
  <definedNames>
    <definedName name="_AMO_UniqueIdentifier" hidden="1">"'86e5db7e-f688-496a-a8dc-8951fb6b3c7b'"</definedName>
    <definedName name="rgnAgeCGS">OFFSET(#REF!,1,2,COUNTA(#REF!)-1,1)</definedName>
    <definedName name="rgnAgeCKR">OFFSET(#REF!,1,4,COUNTA(#REF!)-1,1)</definedName>
    <definedName name="rgnAgeCMG">OFFSET(#REF!,1,1,COUNTA(#REF!)-1,1)</definedName>
    <definedName name="rgnAgeCSG">OFFSET(#REF!,1,3,COUNTA(#REF!)-1,1)</definedName>
    <definedName name="rgnAgeCTitles">OFFSET(#REF!,1,0,COUNTA(#REF!)-1,1)</definedName>
    <definedName name="rgnAgeWeb">OFFSET(#REF!,0,0,COUNTA(#REF!),7)</definedName>
    <definedName name="rgnFamCFT">OFFSET(#REF!,1,2,COUNTA(#REF!)-1,1)</definedName>
    <definedName name="rgnFamCSIJ">OFFSET(#REF!,1,3,COUNTA(#REF!)-1,1)</definedName>
    <definedName name="rgnFamCTitles">OFFSET(#REF!,1,0,COUNTA(#REF!)-1,1)</definedName>
    <definedName name="rgnFamCTS">OFFSET(#REF!,1,1,COUNTA(#REF!)-1,1)</definedName>
    <definedName name="rgnMFDNPopCDayF">OFFSET(#REF!,1,2,COUNTA(#REF!)-1,1)</definedName>
    <definedName name="rgnMFDNPopCDayM">OFFSET(#REF!,1,1,COUNTA(#REF!)-1,1)</definedName>
    <definedName name="rgnMFDNPopCNightF">OFFSET(#REF!,1,4,COUNTA(#REF!)-1,1)</definedName>
    <definedName name="rgnMFDNPopCNightM">OFFSET(#REF!,1,3,COUNTA(#REF!)-1,1)</definedName>
    <definedName name="rgnMFDNPopCTitles">OFFSET(#REF!,1,0,COUNTA(#REF!)-1,1)</definedName>
    <definedName name="rgnMFDNPopDayF">OFFSET(#REF!,1,2,COUNTA(#REF!)-1,1)</definedName>
    <definedName name="rgnMFDNPopDayM">OFFSET(#REF!,1,1,COUNTA(#REF!)-1,1)</definedName>
    <definedName name="rgnMFDNPopNightF">OFFSET(#REF!,1,4,COUNTA(#REF!)-1,1)</definedName>
    <definedName name="rgnMFDNPopNightM">OFFSET(#REF!,1,3,COUNTA(#REF!)-1,1)</definedName>
    <definedName name="rgnMFDNPopTitles">OFFSET(#REF!,1,0,COUNTA(#REF!)-1,1)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 i="62" l="1"/>
  <c r="K6" i="62"/>
  <c r="L6" i="62"/>
  <c r="M6" i="62"/>
  <c r="N6" i="62"/>
  <c r="O6" i="62"/>
  <c r="P6" i="62"/>
  <c r="Q6" i="62"/>
  <c r="R6" i="62"/>
  <c r="S6" i="62"/>
  <c r="I6" i="62"/>
  <c r="I7" i="62"/>
  <c r="H6" i="62"/>
  <c r="EA6" i="52" l="1"/>
  <c r="DZ6" i="52"/>
  <c r="DY6" i="52"/>
  <c r="DX6" i="52"/>
  <c r="DW6" i="52"/>
  <c r="DV6" i="52"/>
  <c r="DU6" i="52"/>
  <c r="DT6" i="52"/>
  <c r="DS6" i="52"/>
  <c r="DR6" i="52"/>
  <c r="DQ6" i="52"/>
  <c r="DP6" i="52"/>
  <c r="DN6" i="52"/>
  <c r="DM6" i="52"/>
  <c r="DL6" i="52"/>
  <c r="DK6" i="52"/>
  <c r="DJ6" i="52"/>
  <c r="DI6" i="52"/>
  <c r="DH6" i="52"/>
  <c r="DG6" i="52"/>
  <c r="DF6" i="52"/>
  <c r="DE6" i="52"/>
  <c r="DD6" i="52"/>
  <c r="DC6" i="52"/>
  <c r="DA6" i="52"/>
  <c r="CZ6" i="52"/>
  <c r="CY6" i="52"/>
  <c r="CX6" i="52"/>
  <c r="CW6" i="52"/>
  <c r="CV6" i="52"/>
  <c r="CU6" i="52"/>
  <c r="CT6" i="52"/>
  <c r="CS6" i="52"/>
  <c r="CR6" i="52"/>
  <c r="CQ6" i="52"/>
  <c r="CP6" i="52"/>
  <c r="CN6" i="52"/>
  <c r="CM6" i="52"/>
  <c r="CL6" i="52"/>
  <c r="CK6" i="52"/>
  <c r="CJ6" i="52"/>
  <c r="CI6" i="52"/>
  <c r="CH6" i="52"/>
  <c r="CG6" i="52"/>
  <c r="CF6" i="52"/>
  <c r="CE6" i="52"/>
  <c r="CD6" i="52"/>
  <c r="CC6" i="52"/>
  <c r="CA6" i="52"/>
  <c r="BZ6" i="52"/>
  <c r="BY6" i="52"/>
  <c r="BX6" i="52"/>
  <c r="BW6" i="52"/>
  <c r="BV6" i="52"/>
  <c r="BU6" i="52"/>
  <c r="BT6" i="52"/>
  <c r="BS6" i="52"/>
  <c r="BR6" i="52"/>
  <c r="BQ6" i="52"/>
  <c r="BP6" i="52"/>
  <c r="BN6" i="52"/>
  <c r="BM6" i="52"/>
  <c r="BL6" i="52"/>
  <c r="BK6" i="52"/>
  <c r="BJ6" i="52"/>
  <c r="BI6" i="52"/>
  <c r="BH6" i="52"/>
  <c r="BG6" i="52"/>
  <c r="BF6" i="52"/>
  <c r="BE6" i="52"/>
  <c r="BD6" i="52"/>
  <c r="BC6" i="52"/>
  <c r="AZ6" i="52"/>
  <c r="AY6" i="52"/>
  <c r="AX6" i="52"/>
  <c r="AW6" i="52"/>
  <c r="AV6" i="52"/>
  <c r="AU6" i="52"/>
  <c r="AT6" i="52"/>
  <c r="AS6" i="52"/>
  <c r="AR6" i="52"/>
  <c r="AQ6" i="52"/>
  <c r="AP6" i="52"/>
  <c r="AN6" i="52"/>
  <c r="AM6" i="52"/>
  <c r="AL6" i="52"/>
  <c r="AK6" i="52"/>
  <c r="AJ6" i="52"/>
  <c r="AI6" i="52"/>
  <c r="AH6" i="52"/>
  <c r="AG6" i="52"/>
  <c r="AF6" i="52"/>
  <c r="AE6" i="52"/>
  <c r="AD6" i="52"/>
  <c r="AC6" i="52"/>
  <c r="AA6" i="52"/>
  <c r="Z6" i="52"/>
  <c r="Y6" i="52"/>
  <c r="X6" i="52"/>
  <c r="W6" i="52"/>
  <c r="V6" i="52"/>
  <c r="U6" i="52"/>
  <c r="T6" i="52"/>
  <c r="Q6" i="52"/>
  <c r="P6" i="52"/>
  <c r="N6" i="52"/>
  <c r="M6" i="52"/>
  <c r="L6" i="52"/>
  <c r="K6" i="52"/>
  <c r="J6" i="52"/>
  <c r="I6" i="52"/>
  <c r="R6" i="52"/>
  <c r="H6" i="52"/>
  <c r="G6" i="52"/>
  <c r="F6" i="52"/>
  <c r="E6" i="52"/>
  <c r="D6" i="52"/>
  <c r="C6" i="52"/>
  <c r="E10" i="62" s="1"/>
  <c r="C9" i="52"/>
  <c r="J15" i="73" l="1"/>
  <c r="D12" i="46"/>
  <c r="D11" i="46"/>
  <c r="D16" i="46"/>
  <c r="D25" i="46"/>
  <c r="D15" i="46" l="1"/>
  <c r="D37" i="46"/>
  <c r="D36" i="46"/>
  <c r="D35" i="46"/>
  <c r="E5" i="62"/>
  <c r="E36" i="52"/>
  <c r="O39" i="52"/>
  <c r="O38" i="52"/>
  <c r="O37" i="52"/>
  <c r="EA26" i="52"/>
  <c r="DZ26" i="52"/>
  <c r="DY26" i="52"/>
  <c r="DX26" i="52"/>
  <c r="DW26" i="52"/>
  <c r="DV26" i="52"/>
  <c r="DU26" i="52"/>
  <c r="DT26" i="52"/>
  <c r="DS26" i="52"/>
  <c r="DR26" i="52"/>
  <c r="DQ26" i="52"/>
  <c r="DP26" i="52"/>
  <c r="DN26" i="52"/>
  <c r="DM26" i="52"/>
  <c r="DL26" i="52"/>
  <c r="DK26" i="52"/>
  <c r="DJ26" i="52"/>
  <c r="DI26" i="52"/>
  <c r="DH26" i="52"/>
  <c r="DG26" i="52"/>
  <c r="DF26" i="52"/>
  <c r="DE26" i="52"/>
  <c r="DD26" i="52"/>
  <c r="DC26" i="52"/>
  <c r="DA26" i="52"/>
  <c r="CZ26" i="52"/>
  <c r="CY26" i="52"/>
  <c r="CX26" i="52"/>
  <c r="CW26" i="52"/>
  <c r="CV26" i="52"/>
  <c r="CU26" i="52"/>
  <c r="CT26" i="52"/>
  <c r="CS26" i="52"/>
  <c r="CR26" i="52"/>
  <c r="CQ26" i="52"/>
  <c r="CP26" i="52"/>
  <c r="CN26" i="52"/>
  <c r="CM26" i="52"/>
  <c r="CL26" i="52"/>
  <c r="CK26" i="52"/>
  <c r="CJ26" i="52"/>
  <c r="CI26" i="52"/>
  <c r="CH26" i="52"/>
  <c r="CG26" i="52"/>
  <c r="CF26" i="52"/>
  <c r="CE26" i="52"/>
  <c r="CD26" i="52"/>
  <c r="CC26" i="52"/>
  <c r="CA26" i="52"/>
  <c r="BZ26" i="52"/>
  <c r="BY26" i="52"/>
  <c r="BX26" i="52"/>
  <c r="BW26" i="52"/>
  <c r="BV26" i="52"/>
  <c r="BU26" i="52"/>
  <c r="BT26" i="52"/>
  <c r="BS26" i="52"/>
  <c r="BR26" i="52"/>
  <c r="BQ26" i="52"/>
  <c r="BP26" i="52"/>
  <c r="BN26" i="52"/>
  <c r="BM26" i="52"/>
  <c r="BL26" i="52"/>
  <c r="BK26" i="52"/>
  <c r="BJ26" i="52"/>
  <c r="BI26" i="52"/>
  <c r="BH26" i="52"/>
  <c r="BG26" i="52"/>
  <c r="BF26" i="52"/>
  <c r="BE26" i="52"/>
  <c r="BD26" i="52"/>
  <c r="BC26" i="52"/>
  <c r="BA26" i="52"/>
  <c r="AZ26" i="52"/>
  <c r="AY26" i="52"/>
  <c r="AX26" i="52"/>
  <c r="AW26" i="52"/>
  <c r="AV26" i="52"/>
  <c r="AU26" i="52"/>
  <c r="AT26" i="52"/>
  <c r="AS26" i="52"/>
  <c r="AR26" i="52"/>
  <c r="AQ26" i="52"/>
  <c r="AP26" i="52"/>
  <c r="AN26" i="52"/>
  <c r="AM26" i="52"/>
  <c r="AL26" i="52"/>
  <c r="AK26" i="52"/>
  <c r="AJ26" i="52"/>
  <c r="AI26" i="52"/>
  <c r="AH26" i="52"/>
  <c r="AG26" i="52"/>
  <c r="AF26" i="52"/>
  <c r="AE26" i="52"/>
  <c r="AD26" i="52"/>
  <c r="AC26" i="52"/>
  <c r="Y26" i="52"/>
  <c r="Z26" i="52"/>
  <c r="AA26" i="52"/>
  <c r="X26" i="52"/>
  <c r="W26" i="52"/>
  <c r="V26" i="52"/>
  <c r="U26" i="52"/>
  <c r="T26" i="52"/>
  <c r="S26" i="52"/>
  <c r="R26" i="52"/>
  <c r="Q26" i="52"/>
  <c r="P26" i="52"/>
  <c r="G26" i="52"/>
  <c r="H26" i="52"/>
  <c r="I26" i="52"/>
  <c r="J26" i="52"/>
  <c r="K26" i="52"/>
  <c r="L26" i="52"/>
  <c r="M26" i="52"/>
  <c r="N26" i="52"/>
  <c r="F26" i="52"/>
  <c r="D14" i="46"/>
  <c r="D34" i="46"/>
  <c r="EA47" i="52"/>
  <c r="DZ47" i="52"/>
  <c r="DY47" i="52"/>
  <c r="DX47" i="52"/>
  <c r="DW47" i="52"/>
  <c r="DV47" i="52"/>
  <c r="DU47" i="52"/>
  <c r="DT47" i="52"/>
  <c r="DS47" i="52"/>
  <c r="DR47" i="52"/>
  <c r="DQ47" i="52"/>
  <c r="DP47" i="52"/>
  <c r="DN47" i="52"/>
  <c r="DM47" i="52"/>
  <c r="DL47" i="52"/>
  <c r="DK47" i="52"/>
  <c r="DJ47" i="52"/>
  <c r="DI47" i="52"/>
  <c r="DH47" i="52"/>
  <c r="DG47" i="52"/>
  <c r="DF47" i="52"/>
  <c r="DE47" i="52"/>
  <c r="DD47" i="52"/>
  <c r="DC47" i="52"/>
  <c r="DA47" i="52"/>
  <c r="CZ47" i="52"/>
  <c r="CY47" i="52"/>
  <c r="CX47" i="52"/>
  <c r="CW47" i="52"/>
  <c r="CV47" i="52"/>
  <c r="CU47" i="52"/>
  <c r="CT47" i="52"/>
  <c r="CS47" i="52"/>
  <c r="CR47" i="52"/>
  <c r="CQ47" i="52"/>
  <c r="CP47" i="52"/>
  <c r="CN47" i="52"/>
  <c r="CM47" i="52"/>
  <c r="CL47" i="52"/>
  <c r="CK47" i="52"/>
  <c r="CJ47" i="52"/>
  <c r="CI47" i="52"/>
  <c r="CH47" i="52"/>
  <c r="CG47" i="52"/>
  <c r="CF47" i="52"/>
  <c r="CE47" i="52"/>
  <c r="CD47" i="52"/>
  <c r="CC47" i="52"/>
  <c r="CA47" i="52"/>
  <c r="BZ47" i="52"/>
  <c r="BY47" i="52"/>
  <c r="BX47" i="52"/>
  <c r="BW47" i="52"/>
  <c r="BV47" i="52"/>
  <c r="BU47" i="52"/>
  <c r="BT47" i="52"/>
  <c r="BS47" i="52"/>
  <c r="BR47" i="52"/>
  <c r="BQ47" i="52"/>
  <c r="BP47" i="52"/>
  <c r="BN47" i="52"/>
  <c r="BM47" i="52"/>
  <c r="BL47" i="52"/>
  <c r="BK47" i="52"/>
  <c r="BJ47" i="52"/>
  <c r="BI47" i="52"/>
  <c r="BH47" i="52"/>
  <c r="BG47" i="52"/>
  <c r="BF47" i="52"/>
  <c r="BE47" i="52"/>
  <c r="BD47" i="52"/>
  <c r="BC47" i="52"/>
  <c r="BA47" i="52"/>
  <c r="AZ47" i="52"/>
  <c r="AY47" i="52"/>
  <c r="AX47" i="52"/>
  <c r="AW47" i="52"/>
  <c r="AV47" i="52"/>
  <c r="AU47" i="52"/>
  <c r="AT47" i="52"/>
  <c r="AS47" i="52"/>
  <c r="AR47" i="52"/>
  <c r="AQ47" i="52"/>
  <c r="AP47" i="52"/>
  <c r="AN47" i="52"/>
  <c r="AM47" i="52"/>
  <c r="AL47" i="52"/>
  <c r="AK47" i="52"/>
  <c r="AJ47" i="52"/>
  <c r="AI47" i="52"/>
  <c r="AH47" i="52"/>
  <c r="AG47" i="52"/>
  <c r="AF47" i="52"/>
  <c r="AE47" i="52"/>
  <c r="AD47" i="52"/>
  <c r="AC47" i="52"/>
  <c r="Y47" i="52"/>
  <c r="Z47" i="52"/>
  <c r="AA47" i="52"/>
  <c r="X47" i="52"/>
  <c r="W47" i="52"/>
  <c r="V47" i="52"/>
  <c r="U47" i="52"/>
  <c r="T47" i="52"/>
  <c r="S47" i="52"/>
  <c r="R47" i="52"/>
  <c r="Q47" i="52"/>
  <c r="P47" i="52"/>
  <c r="G47" i="52"/>
  <c r="H47" i="52"/>
  <c r="I47" i="52"/>
  <c r="J47" i="52"/>
  <c r="K47" i="52"/>
  <c r="L47" i="52"/>
  <c r="M47" i="52"/>
  <c r="N47" i="52"/>
  <c r="F47" i="52"/>
  <c r="EA46" i="52"/>
  <c r="DZ46" i="52"/>
  <c r="DY46" i="52"/>
  <c r="DX46" i="52"/>
  <c r="DW46" i="52"/>
  <c r="DV46" i="52"/>
  <c r="DU46" i="52"/>
  <c r="DT46" i="52"/>
  <c r="DS46" i="52"/>
  <c r="DR46" i="52"/>
  <c r="DQ46" i="52"/>
  <c r="DP46" i="52"/>
  <c r="DN46" i="52"/>
  <c r="DM46" i="52"/>
  <c r="DL46" i="52"/>
  <c r="DK46" i="52"/>
  <c r="DJ46" i="52"/>
  <c r="DI46" i="52"/>
  <c r="DH46" i="52"/>
  <c r="DG46" i="52"/>
  <c r="DF46" i="52"/>
  <c r="DE46" i="52"/>
  <c r="DD46" i="52"/>
  <c r="DC46" i="52"/>
  <c r="DA46" i="52"/>
  <c r="CZ46" i="52"/>
  <c r="CY46" i="52"/>
  <c r="CX46" i="52"/>
  <c r="CW46" i="52"/>
  <c r="CV46" i="52"/>
  <c r="CU46" i="52"/>
  <c r="CT46" i="52"/>
  <c r="CS46" i="52"/>
  <c r="CR46" i="52"/>
  <c r="CQ46" i="52"/>
  <c r="CP46" i="52"/>
  <c r="CN46" i="52"/>
  <c r="CM46" i="52"/>
  <c r="CL46" i="52"/>
  <c r="CK46" i="52"/>
  <c r="CJ46" i="52"/>
  <c r="CI46" i="52"/>
  <c r="CH46" i="52"/>
  <c r="CG46" i="52"/>
  <c r="CF46" i="52"/>
  <c r="CE46" i="52"/>
  <c r="CD46" i="52"/>
  <c r="CC46" i="52"/>
  <c r="CA46" i="52"/>
  <c r="BZ46" i="52"/>
  <c r="BY46" i="52"/>
  <c r="BX46" i="52"/>
  <c r="BW46" i="52"/>
  <c r="BV46" i="52"/>
  <c r="BU46" i="52"/>
  <c r="BT46" i="52"/>
  <c r="BS46" i="52"/>
  <c r="BR46" i="52"/>
  <c r="BQ46" i="52"/>
  <c r="BP46" i="52"/>
  <c r="BN46" i="52"/>
  <c r="BM46" i="52"/>
  <c r="BL46" i="52"/>
  <c r="BK46" i="52"/>
  <c r="BJ46" i="52"/>
  <c r="BI46" i="52"/>
  <c r="BH46" i="52"/>
  <c r="BG46" i="52"/>
  <c r="BF46" i="52"/>
  <c r="BE46" i="52"/>
  <c r="BD46" i="52"/>
  <c r="BC46" i="52"/>
  <c r="BA46" i="52"/>
  <c r="AZ46" i="52"/>
  <c r="AY46" i="52"/>
  <c r="AX46" i="52"/>
  <c r="AW46" i="52"/>
  <c r="AV46" i="52"/>
  <c r="AU46" i="52"/>
  <c r="AT46" i="52"/>
  <c r="AS46" i="52"/>
  <c r="AR46" i="52"/>
  <c r="AQ46" i="52"/>
  <c r="AP46" i="52"/>
  <c r="AN46" i="52"/>
  <c r="AM46" i="52"/>
  <c r="AL46" i="52"/>
  <c r="AK46" i="52"/>
  <c r="AJ46" i="52"/>
  <c r="AI46" i="52"/>
  <c r="AH46" i="52"/>
  <c r="AG46" i="52"/>
  <c r="AF46" i="52"/>
  <c r="AE46" i="52"/>
  <c r="AD46" i="52"/>
  <c r="AC46" i="52"/>
  <c r="Z46" i="52"/>
  <c r="AA46" i="52"/>
  <c r="P46" i="52"/>
  <c r="Y46" i="52"/>
  <c r="X46" i="52"/>
  <c r="W46" i="52"/>
  <c r="V46" i="52"/>
  <c r="U46" i="52"/>
  <c r="T46" i="52"/>
  <c r="S46" i="52"/>
  <c r="R46" i="52"/>
  <c r="Q46" i="52"/>
  <c r="G46" i="52"/>
  <c r="H46" i="52"/>
  <c r="I46" i="52"/>
  <c r="J46" i="52"/>
  <c r="K46" i="52"/>
  <c r="L46" i="52"/>
  <c r="M46" i="52"/>
  <c r="N46" i="52"/>
  <c r="F46" i="52"/>
  <c r="F45" i="52"/>
  <c r="AB46" i="52" l="1"/>
  <c r="DB46" i="52"/>
  <c r="O46" i="52"/>
  <c r="AB47" i="52"/>
  <c r="AO47" i="52"/>
  <c r="BB47" i="52"/>
  <c r="BO47" i="52"/>
  <c r="CB47" i="52"/>
  <c r="CO47" i="52"/>
  <c r="DB47" i="52"/>
  <c r="DO47" i="52"/>
  <c r="AO46" i="52"/>
  <c r="BB46" i="52"/>
  <c r="BO46" i="52"/>
  <c r="CB46" i="52"/>
  <c r="CO46" i="52"/>
  <c r="DO46" i="52"/>
  <c r="EB46" i="52"/>
  <c r="O47" i="52"/>
  <c r="EB47" i="52"/>
  <c r="EA49" i="52"/>
  <c r="DZ49" i="52"/>
  <c r="DY49" i="52"/>
  <c r="DX49" i="52"/>
  <c r="DW49" i="52"/>
  <c r="DV49" i="52"/>
  <c r="DU49" i="52"/>
  <c r="DT49" i="52"/>
  <c r="DS49" i="52"/>
  <c r="DR49" i="52"/>
  <c r="DQ49" i="52"/>
  <c r="DP49" i="52"/>
  <c r="DN49" i="52"/>
  <c r="DM49" i="52"/>
  <c r="DL49" i="52"/>
  <c r="DK49" i="52"/>
  <c r="DJ49" i="52"/>
  <c r="DI49" i="52"/>
  <c r="DH49" i="52"/>
  <c r="DG49" i="52"/>
  <c r="DF49" i="52"/>
  <c r="DE49" i="52"/>
  <c r="DD49" i="52"/>
  <c r="DC49" i="52"/>
  <c r="DA49" i="52"/>
  <c r="CZ49" i="52"/>
  <c r="CY49" i="52"/>
  <c r="CX49" i="52"/>
  <c r="CW49" i="52"/>
  <c r="CV49" i="52"/>
  <c r="CU49" i="52"/>
  <c r="CT49" i="52"/>
  <c r="CS49" i="52"/>
  <c r="CR49" i="52"/>
  <c r="CQ49" i="52"/>
  <c r="CP49" i="52"/>
  <c r="CN49" i="52"/>
  <c r="CM49" i="52"/>
  <c r="CL49" i="52"/>
  <c r="CK49" i="52"/>
  <c r="CJ49" i="52"/>
  <c r="CI49" i="52"/>
  <c r="CH49" i="52"/>
  <c r="CG49" i="52"/>
  <c r="CF49" i="52"/>
  <c r="CE49" i="52"/>
  <c r="CD49" i="52"/>
  <c r="CC49" i="52"/>
  <c r="CA49" i="52"/>
  <c r="BZ49" i="52"/>
  <c r="BY49" i="52"/>
  <c r="BX49" i="52"/>
  <c r="BW49" i="52"/>
  <c r="BV49" i="52"/>
  <c r="BU49" i="52"/>
  <c r="BT49" i="52"/>
  <c r="BS49" i="52"/>
  <c r="BR49" i="52"/>
  <c r="BQ49" i="52"/>
  <c r="BP49" i="52"/>
  <c r="BN49" i="52"/>
  <c r="BM49" i="52"/>
  <c r="BL49" i="52"/>
  <c r="BK49" i="52"/>
  <c r="BJ49" i="52"/>
  <c r="BI49" i="52"/>
  <c r="BH49" i="52"/>
  <c r="BG49" i="52"/>
  <c r="BF49" i="52"/>
  <c r="BE49" i="52"/>
  <c r="BD49" i="52"/>
  <c r="BC49" i="52"/>
  <c r="BA49" i="52"/>
  <c r="AZ49" i="52"/>
  <c r="AY49" i="52"/>
  <c r="AX49" i="52"/>
  <c r="AW49" i="52"/>
  <c r="AV49" i="52"/>
  <c r="AU49" i="52"/>
  <c r="AT49" i="52"/>
  <c r="AS49" i="52"/>
  <c r="AR49" i="52"/>
  <c r="AQ49" i="52"/>
  <c r="AP49" i="52"/>
  <c r="AN49" i="52"/>
  <c r="AM49" i="52"/>
  <c r="AL49" i="52"/>
  <c r="AK49" i="52"/>
  <c r="AJ49" i="52"/>
  <c r="AI49" i="52"/>
  <c r="AH49" i="52"/>
  <c r="AG49" i="52"/>
  <c r="AF49" i="52"/>
  <c r="AE49" i="52"/>
  <c r="AD49" i="52"/>
  <c r="AC49" i="52"/>
  <c r="Y49" i="52"/>
  <c r="Z49" i="52"/>
  <c r="AA49" i="52"/>
  <c r="X49" i="52"/>
  <c r="W49" i="52"/>
  <c r="V49" i="52"/>
  <c r="U49" i="52"/>
  <c r="T49" i="52"/>
  <c r="S49" i="52"/>
  <c r="R49" i="52"/>
  <c r="Q49" i="52"/>
  <c r="P49" i="52"/>
  <c r="G49" i="52"/>
  <c r="H49" i="52"/>
  <c r="I49" i="52"/>
  <c r="J49" i="52"/>
  <c r="K49" i="52"/>
  <c r="L49" i="52"/>
  <c r="M49" i="52"/>
  <c r="N49" i="52"/>
  <c r="F49" i="52"/>
  <c r="D24" i="46"/>
  <c r="D26" i="46"/>
  <c r="N9" i="46" s="1"/>
  <c r="D19" i="46" l="1"/>
  <c r="F25" i="73"/>
  <c r="D4" i="46" l="1"/>
  <c r="P36" i="52" l="1"/>
  <c r="EB49" i="52" l="1"/>
  <c r="EB48" i="52"/>
  <c r="EB43" i="52"/>
  <c r="EB39" i="52"/>
  <c r="EB38" i="52"/>
  <c r="EB37" i="52"/>
  <c r="DO49" i="52"/>
  <c r="DO48" i="52"/>
  <c r="DO43" i="52"/>
  <c r="DO39" i="52"/>
  <c r="DO38" i="52"/>
  <c r="DO37" i="52"/>
  <c r="DB49" i="52"/>
  <c r="DB48" i="52"/>
  <c r="DB43" i="52"/>
  <c r="DB39" i="52"/>
  <c r="DB38" i="52"/>
  <c r="DB37" i="52"/>
  <c r="CO49" i="52"/>
  <c r="CO48" i="52"/>
  <c r="CO43" i="52"/>
  <c r="CO39" i="52"/>
  <c r="CO38" i="52"/>
  <c r="CO37" i="52"/>
  <c r="CB49" i="52"/>
  <c r="CB48" i="52"/>
  <c r="CB43" i="52"/>
  <c r="CB39" i="52"/>
  <c r="CB38" i="52"/>
  <c r="CB37" i="52"/>
  <c r="BO49" i="52"/>
  <c r="BO48" i="52"/>
  <c r="BO43" i="52"/>
  <c r="BO39" i="52"/>
  <c r="BO38" i="52"/>
  <c r="BO37" i="52"/>
  <c r="BB49" i="52"/>
  <c r="BB48" i="52"/>
  <c r="BB43" i="52"/>
  <c r="BB39" i="52"/>
  <c r="BB38" i="52"/>
  <c r="BB37" i="52"/>
  <c r="BB36" i="52" s="1"/>
  <c r="AO49" i="52"/>
  <c r="AO48" i="52"/>
  <c r="AO43" i="52"/>
  <c r="AO39" i="52"/>
  <c r="AO38" i="52"/>
  <c r="AO37" i="52"/>
  <c r="AB37" i="52"/>
  <c r="O49" i="52"/>
  <c r="O48" i="52"/>
  <c r="AB38" i="52"/>
  <c r="AB39" i="52"/>
  <c r="AB43" i="52"/>
  <c r="AB48" i="52"/>
  <c r="AB49" i="52"/>
  <c r="AB36" i="52" l="1"/>
  <c r="AO36" i="52"/>
  <c r="O36" i="52"/>
  <c r="DO36" i="52"/>
  <c r="BO36" i="52"/>
  <c r="CO36" i="52"/>
  <c r="EB36" i="52"/>
  <c r="CB36" i="52"/>
  <c r="DB36" i="52"/>
  <c r="C41" i="52"/>
  <c r="D41" i="52"/>
  <c r="E58" i="52" l="1"/>
  <c r="E52" i="52"/>
  <c r="E57" i="52" s="1"/>
  <c r="F52" i="52"/>
  <c r="D43" i="52"/>
  <c r="O43" i="52" s="1"/>
  <c r="E42" i="52"/>
  <c r="D42" i="52"/>
  <c r="E31" i="52"/>
  <c r="E32" i="52"/>
  <c r="E33" i="52"/>
  <c r="E35" i="52"/>
  <c r="D35" i="52"/>
  <c r="D33" i="52"/>
  <c r="D32" i="52"/>
  <c r="D31" i="52"/>
  <c r="F50" i="52"/>
  <c r="F51" i="52"/>
  <c r="F24" i="52"/>
  <c r="F28" i="52" s="1"/>
  <c r="E24" i="52"/>
  <c r="E28" i="52" s="1"/>
  <c r="B5" i="73"/>
  <c r="F14" i="73"/>
  <c r="BA6" i="52"/>
  <c r="E8" i="52"/>
  <c r="G16" i="52" s="1"/>
  <c r="N31" i="52" l="1"/>
  <c r="F31" i="52"/>
  <c r="P31" i="52"/>
  <c r="G31" i="52"/>
  <c r="H31" i="52"/>
  <c r="I31" i="52"/>
  <c r="J31" i="52"/>
  <c r="K31" i="52"/>
  <c r="L31" i="52"/>
  <c r="M31" i="52"/>
  <c r="D34" i="52"/>
  <c r="D30" i="52" s="1"/>
  <c r="E34" i="52"/>
  <c r="E30" i="52" s="1"/>
  <c r="F8" i="52"/>
  <c r="G8" i="52"/>
  <c r="H8" i="52"/>
  <c r="G14" i="52" l="1"/>
  <c r="N27" i="52"/>
  <c r="Q31" i="52"/>
  <c r="AC31" i="52"/>
  <c r="AP31" i="52" s="1"/>
  <c r="BC31" i="52" s="1"/>
  <c r="BP31" i="52" s="1"/>
  <c r="CC31" i="52" s="1"/>
  <c r="CP31" i="52" s="1"/>
  <c r="DC31" i="52" s="1"/>
  <c r="DP31" i="52" s="1"/>
  <c r="E5" i="52"/>
  <c r="F5" i="52" s="1"/>
  <c r="G5" i="52" s="1"/>
  <c r="G4" i="52" s="1"/>
  <c r="H20" i="52"/>
  <c r="R31" i="52" l="1"/>
  <c r="AD31" i="52"/>
  <c r="AQ31" i="52" s="1"/>
  <c r="BD31" i="52" s="1"/>
  <c r="BQ31" i="52" s="1"/>
  <c r="CD31" i="52" s="1"/>
  <c r="CQ31" i="52" s="1"/>
  <c r="DD31" i="52" s="1"/>
  <c r="DQ31" i="52" s="1"/>
  <c r="F4" i="52"/>
  <c r="E4" i="52"/>
  <c r="G15" i="52"/>
  <c r="H15" i="52"/>
  <c r="G22" i="52" l="1"/>
  <c r="G21" i="52" s="1"/>
  <c r="G13" i="52" s="1"/>
  <c r="G50" i="52" s="1"/>
  <c r="S31" i="52"/>
  <c r="AE31" i="52"/>
  <c r="AR31" i="52" s="1"/>
  <c r="BE31" i="52" s="1"/>
  <c r="BR31" i="52" s="1"/>
  <c r="CE31" i="52" s="1"/>
  <c r="CR31" i="52" s="1"/>
  <c r="DE31" i="52" s="1"/>
  <c r="DR31" i="52" s="1"/>
  <c r="T31" i="52" l="1"/>
  <c r="AF31" i="52"/>
  <c r="AS31" i="52" s="1"/>
  <c r="BF31" i="52" s="1"/>
  <c r="BS31" i="52" s="1"/>
  <c r="CF31" i="52" s="1"/>
  <c r="CS31" i="52" s="1"/>
  <c r="DF31" i="52" s="1"/>
  <c r="DS31" i="52" s="1"/>
  <c r="U31" i="52" l="1"/>
  <c r="AG31" i="52"/>
  <c r="AT31" i="52" s="1"/>
  <c r="BG31" i="52" s="1"/>
  <c r="BT31" i="52" s="1"/>
  <c r="CG31" i="52" s="1"/>
  <c r="CT31" i="52" s="1"/>
  <c r="DG31" i="52" s="1"/>
  <c r="DT31" i="52" s="1"/>
  <c r="F57" i="52"/>
  <c r="V31" i="52" l="1"/>
  <c r="AH31" i="52"/>
  <c r="AU31" i="52" s="1"/>
  <c r="BH31" i="52" s="1"/>
  <c r="BU31" i="52" s="1"/>
  <c r="CH31" i="52" s="1"/>
  <c r="CU31" i="52" s="1"/>
  <c r="DH31" i="52" s="1"/>
  <c r="DU31" i="52" s="1"/>
  <c r="D9" i="46"/>
  <c r="B20" i="71"/>
  <c r="D20" i="71"/>
  <c r="F20" i="71"/>
  <c r="H20" i="71"/>
  <c r="J20" i="71"/>
  <c r="L20" i="71"/>
  <c r="N20" i="71"/>
  <c r="P20" i="71"/>
  <c r="R20" i="71"/>
  <c r="T20" i="71"/>
  <c r="EA42" i="52"/>
  <c r="DZ42" i="52"/>
  <c r="DY42" i="52"/>
  <c r="DX42" i="52"/>
  <c r="DW42" i="52"/>
  <c r="DV42" i="52"/>
  <c r="DU42" i="52"/>
  <c r="DT42" i="52"/>
  <c r="DS42" i="52"/>
  <c r="DR42" i="52"/>
  <c r="DQ42" i="52"/>
  <c r="DP42" i="52"/>
  <c r="DN42" i="52"/>
  <c r="DM42" i="52"/>
  <c r="DL42" i="52"/>
  <c r="DK42" i="52"/>
  <c r="DJ42" i="52"/>
  <c r="DI42" i="52"/>
  <c r="DH42" i="52"/>
  <c r="DG42" i="52"/>
  <c r="DF42" i="52"/>
  <c r="DE42" i="52"/>
  <c r="DD42" i="52"/>
  <c r="DC42" i="52"/>
  <c r="DA42" i="52"/>
  <c r="CZ42" i="52"/>
  <c r="CY42" i="52"/>
  <c r="CX42" i="52"/>
  <c r="CW42" i="52"/>
  <c r="CV42" i="52"/>
  <c r="CU42" i="52"/>
  <c r="CT42" i="52"/>
  <c r="CS42" i="52"/>
  <c r="CR42" i="52"/>
  <c r="CQ42" i="52"/>
  <c r="CP42" i="52"/>
  <c r="CN42" i="52"/>
  <c r="CM42" i="52"/>
  <c r="CL42" i="52"/>
  <c r="CK42" i="52"/>
  <c r="CJ42" i="52"/>
  <c r="CI42" i="52"/>
  <c r="CH42" i="52"/>
  <c r="CG42" i="52"/>
  <c r="CF42" i="52"/>
  <c r="CE42" i="52"/>
  <c r="CD42" i="52"/>
  <c r="CC42" i="52"/>
  <c r="CA42" i="52"/>
  <c r="BZ42" i="52"/>
  <c r="BY42" i="52"/>
  <c r="BX42" i="52"/>
  <c r="BW42" i="52"/>
  <c r="BV42" i="52"/>
  <c r="BU42" i="52"/>
  <c r="BT42" i="52"/>
  <c r="BS42" i="52"/>
  <c r="BR42" i="52"/>
  <c r="BQ42" i="52"/>
  <c r="BP42" i="52"/>
  <c r="BN42" i="52"/>
  <c r="BM42" i="52"/>
  <c r="BL42" i="52"/>
  <c r="BK42" i="52"/>
  <c r="BJ42" i="52"/>
  <c r="BI42" i="52"/>
  <c r="BH42" i="52"/>
  <c r="BG42" i="52"/>
  <c r="BF42" i="52"/>
  <c r="BE42" i="52"/>
  <c r="BD42" i="52"/>
  <c r="BC42" i="52"/>
  <c r="BA42" i="52"/>
  <c r="AZ42" i="52"/>
  <c r="AY42" i="52"/>
  <c r="AX42" i="52"/>
  <c r="AW42" i="52"/>
  <c r="AV42" i="52"/>
  <c r="AU42" i="52"/>
  <c r="AT42" i="52"/>
  <c r="AS42" i="52"/>
  <c r="AR42" i="52"/>
  <c r="AQ42" i="52"/>
  <c r="AP42" i="52"/>
  <c r="AN42" i="52"/>
  <c r="AM42" i="52"/>
  <c r="AL42" i="52"/>
  <c r="AK42" i="52"/>
  <c r="AJ42" i="52"/>
  <c r="AI42" i="52"/>
  <c r="AH42" i="52"/>
  <c r="AG42" i="52"/>
  <c r="AF42" i="52"/>
  <c r="AE42" i="52"/>
  <c r="AD42" i="52"/>
  <c r="AC42" i="52"/>
  <c r="P42" i="52"/>
  <c r="Q42" i="52"/>
  <c r="AA42" i="52"/>
  <c r="Z42" i="52"/>
  <c r="Y42" i="52"/>
  <c r="X42" i="52"/>
  <c r="W42" i="52"/>
  <c r="V42" i="52"/>
  <c r="U42" i="52"/>
  <c r="T42" i="52"/>
  <c r="S42" i="52"/>
  <c r="R42" i="52"/>
  <c r="F42" i="52"/>
  <c r="G42" i="52"/>
  <c r="H42" i="52"/>
  <c r="I42" i="52"/>
  <c r="J42" i="52"/>
  <c r="K42" i="52"/>
  <c r="L42" i="52"/>
  <c r="M42" i="52"/>
  <c r="N42" i="52"/>
  <c r="AB42" i="52" l="1"/>
  <c r="O42" i="52"/>
  <c r="W31" i="52"/>
  <c r="AI31" i="52"/>
  <c r="AV31" i="52" s="1"/>
  <c r="BI31" i="52" s="1"/>
  <c r="BV31" i="52" s="1"/>
  <c r="CI31" i="52" s="1"/>
  <c r="CV31" i="52" s="1"/>
  <c r="DI31" i="52" s="1"/>
  <c r="DV31" i="52" s="1"/>
  <c r="DB42" i="52"/>
  <c r="DO42" i="52"/>
  <c r="CB42" i="52"/>
  <c r="CO42" i="52"/>
  <c r="BO42" i="52"/>
  <c r="AO42" i="52"/>
  <c r="BB42" i="52"/>
  <c r="EB42" i="52"/>
  <c r="V20" i="71"/>
  <c r="X31" i="52" l="1"/>
  <c r="AJ31" i="52"/>
  <c r="AW31" i="52" s="1"/>
  <c r="BJ31" i="52" s="1"/>
  <c r="BW31" i="52" s="1"/>
  <c r="CJ31" i="52" s="1"/>
  <c r="CW31" i="52" s="1"/>
  <c r="DJ31" i="52" s="1"/>
  <c r="DW31" i="52" s="1"/>
  <c r="N19" i="61"/>
  <c r="N19" i="71"/>
  <c r="R19" i="61"/>
  <c r="R19" i="71"/>
  <c r="L19" i="61"/>
  <c r="L19" i="71"/>
  <c r="H19" i="61"/>
  <c r="H19" i="71"/>
  <c r="P19" i="61"/>
  <c r="P19" i="71"/>
  <c r="D19" i="61"/>
  <c r="D19" i="71"/>
  <c r="T19" i="61"/>
  <c r="T19" i="71"/>
  <c r="J19" i="61"/>
  <c r="J19" i="71"/>
  <c r="B19" i="61"/>
  <c r="B19" i="71"/>
  <c r="F19" i="61"/>
  <c r="F19" i="71"/>
  <c r="Y31" i="52" l="1"/>
  <c r="AK31" i="52"/>
  <c r="AX31" i="52" s="1"/>
  <c r="BK31" i="52" s="1"/>
  <c r="BX31" i="52" s="1"/>
  <c r="CK31" i="52" s="1"/>
  <c r="CX31" i="52" s="1"/>
  <c r="DK31" i="52" s="1"/>
  <c r="DX31" i="52" s="1"/>
  <c r="V19" i="61"/>
  <c r="V19" i="71"/>
  <c r="Z31" i="52" l="1"/>
  <c r="AL31" i="52"/>
  <c r="AY31" i="52" s="1"/>
  <c r="BL31" i="52" s="1"/>
  <c r="BY31" i="52" s="1"/>
  <c r="CL31" i="52" s="1"/>
  <c r="CY31" i="52" s="1"/>
  <c r="DL31" i="52" s="1"/>
  <c r="DY31" i="52" s="1"/>
  <c r="AA31" i="52" l="1"/>
  <c r="AN31" i="52" s="1"/>
  <c r="BA31" i="52" s="1"/>
  <c r="BN31" i="52" s="1"/>
  <c r="CA31" i="52" s="1"/>
  <c r="CN31" i="52" s="1"/>
  <c r="DA31" i="52" s="1"/>
  <c r="DN31" i="52" s="1"/>
  <c r="EA31" i="52" s="1"/>
  <c r="AM31" i="52"/>
  <c r="AZ31" i="52" s="1"/>
  <c r="BM31" i="52" s="1"/>
  <c r="BZ31" i="52" s="1"/>
  <c r="CM31" i="52" s="1"/>
  <c r="CZ31" i="52" s="1"/>
  <c r="DM31" i="52" s="1"/>
  <c r="DZ31" i="52" s="1"/>
  <c r="S8" i="62"/>
  <c r="R8" i="62"/>
  <c r="Q8" i="62"/>
  <c r="P8" i="62"/>
  <c r="O8" i="62"/>
  <c r="N8" i="62"/>
  <c r="M8" i="62"/>
  <c r="L8" i="62"/>
  <c r="K8" i="62"/>
  <c r="J8" i="62"/>
  <c r="I8" i="62"/>
  <c r="H8" i="62"/>
  <c r="S7" i="62"/>
  <c r="R7" i="62"/>
  <c r="Q7" i="62"/>
  <c r="P7" i="62"/>
  <c r="O7" i="62"/>
  <c r="N7" i="62"/>
  <c r="M7" i="62"/>
  <c r="L7" i="62"/>
  <c r="K7" i="62"/>
  <c r="J7" i="62"/>
  <c r="H7" i="62"/>
  <c r="R23" i="52"/>
  <c r="G5" i="62" l="1"/>
  <c r="L5" i="62"/>
  <c r="F5" i="62"/>
  <c r="R5" i="62"/>
  <c r="S5" i="62"/>
  <c r="Q5" i="62"/>
  <c r="J5" i="62" l="1"/>
  <c r="P5" i="62"/>
  <c r="I5" i="62"/>
  <c r="N5" i="62"/>
  <c r="M5" i="62"/>
  <c r="O5" i="62"/>
  <c r="H5" i="62"/>
  <c r="K5" i="62"/>
  <c r="Q25" i="46"/>
  <c r="K25" i="46" l="1"/>
  <c r="C40" i="52"/>
  <c r="D8" i="46"/>
  <c r="D6" i="46"/>
  <c r="C65" i="52"/>
  <c r="EA36" i="52"/>
  <c r="DZ36" i="52"/>
  <c r="DY36" i="52"/>
  <c r="DX36" i="52"/>
  <c r="DW36" i="52"/>
  <c r="DV36" i="52"/>
  <c r="DU36" i="52"/>
  <c r="DT36" i="52"/>
  <c r="DS36" i="52"/>
  <c r="DR36" i="52"/>
  <c r="DQ36" i="52"/>
  <c r="DP36" i="52"/>
  <c r="DN36" i="52"/>
  <c r="DM36" i="52"/>
  <c r="DL36" i="52"/>
  <c r="DK36" i="52"/>
  <c r="DJ36" i="52"/>
  <c r="DI36" i="52"/>
  <c r="DH36" i="52"/>
  <c r="DG36" i="52"/>
  <c r="DF36" i="52"/>
  <c r="DE36" i="52"/>
  <c r="DD36" i="52"/>
  <c r="DC36" i="52"/>
  <c r="DA36" i="52"/>
  <c r="CZ36" i="52"/>
  <c r="CY36" i="52"/>
  <c r="CX36" i="52"/>
  <c r="CW36" i="52"/>
  <c r="CV36" i="52"/>
  <c r="CU36" i="52"/>
  <c r="CT36" i="52"/>
  <c r="CS36" i="52"/>
  <c r="CR36" i="52"/>
  <c r="CQ36" i="52"/>
  <c r="CP36" i="52"/>
  <c r="CN36" i="52"/>
  <c r="CM36" i="52"/>
  <c r="CL36" i="52"/>
  <c r="CK36" i="52"/>
  <c r="CJ36" i="52"/>
  <c r="CI36" i="52"/>
  <c r="CH36" i="52"/>
  <c r="CG36" i="52"/>
  <c r="CF36" i="52"/>
  <c r="CE36" i="52"/>
  <c r="CD36" i="52"/>
  <c r="CC36" i="52"/>
  <c r="CA36" i="52"/>
  <c r="BZ36" i="52"/>
  <c r="BY36" i="52"/>
  <c r="BX36" i="52"/>
  <c r="BW36" i="52"/>
  <c r="BV36" i="52"/>
  <c r="BU36" i="52"/>
  <c r="BT36" i="52"/>
  <c r="BS36" i="52"/>
  <c r="BR36" i="52"/>
  <c r="BQ36" i="52"/>
  <c r="BP36" i="52"/>
  <c r="BN36" i="52"/>
  <c r="BM36" i="52"/>
  <c r="BL36" i="52"/>
  <c r="BK36" i="52"/>
  <c r="BJ36" i="52"/>
  <c r="BI36" i="52"/>
  <c r="BH36" i="52"/>
  <c r="BG36" i="52"/>
  <c r="BF36" i="52"/>
  <c r="BE36" i="52"/>
  <c r="BD36" i="52"/>
  <c r="BC36" i="52"/>
  <c r="AQ36" i="52"/>
  <c r="AR36" i="52"/>
  <c r="AS36" i="52"/>
  <c r="AT36" i="52"/>
  <c r="AU36" i="52"/>
  <c r="AV36" i="52"/>
  <c r="AW36" i="52"/>
  <c r="AX36" i="52"/>
  <c r="AY36" i="52"/>
  <c r="AZ36" i="52"/>
  <c r="BA36" i="52"/>
  <c r="AN36" i="52"/>
  <c r="AP36" i="52"/>
  <c r="AD36" i="52"/>
  <c r="AE36" i="52" l="1"/>
  <c r="AF36" i="52"/>
  <c r="AG36" i="52"/>
  <c r="AH36" i="52"/>
  <c r="AI36" i="52"/>
  <c r="AJ36" i="52"/>
  <c r="AK36" i="52"/>
  <c r="AL36" i="52"/>
  <c r="AM36" i="52"/>
  <c r="AC36" i="52"/>
  <c r="Q36" i="52"/>
  <c r="R36" i="52"/>
  <c r="S36" i="52"/>
  <c r="T36" i="52"/>
  <c r="U36" i="52"/>
  <c r="V36" i="52"/>
  <c r="W36" i="52"/>
  <c r="X36" i="52"/>
  <c r="Y36" i="52"/>
  <c r="Z36" i="52"/>
  <c r="AA36" i="52"/>
  <c r="F36" i="52"/>
  <c r="G36" i="52"/>
  <c r="H36" i="52"/>
  <c r="I36" i="52"/>
  <c r="J36" i="52"/>
  <c r="K36" i="52"/>
  <c r="L36" i="52"/>
  <c r="M36" i="52"/>
  <c r="N36" i="52"/>
  <c r="D17" i="71" l="1"/>
  <c r="D5" i="46"/>
  <c r="Q35" i="46" s="1"/>
  <c r="R25" i="46"/>
  <c r="R26" i="46"/>
  <c r="D33" i="46"/>
  <c r="D41" i="46"/>
  <c r="F58" i="52"/>
  <c r="F35" i="52"/>
  <c r="C29" i="52"/>
  <c r="C53" i="52" s="1"/>
  <c r="C59" i="52" s="1"/>
  <c r="G10" i="62"/>
  <c r="G11" i="62" s="1"/>
  <c r="BB31" i="52" l="1"/>
  <c r="CB31" i="52"/>
  <c r="DO31" i="52"/>
  <c r="O31" i="52"/>
  <c r="AB31" i="52"/>
  <c r="AO31" i="52"/>
  <c r="BO31" i="52"/>
  <c r="CO31" i="52"/>
  <c r="DB31" i="52"/>
  <c r="EB31" i="52"/>
  <c r="E11" i="62"/>
  <c r="F10" i="62"/>
  <c r="F11" i="62" s="1"/>
  <c r="R38" i="46"/>
  <c r="R35" i="46"/>
  <c r="S35" i="46" s="1"/>
  <c r="Q36" i="46" s="1"/>
  <c r="R36" i="46"/>
  <c r="R37" i="46"/>
  <c r="R39" i="46"/>
  <c r="D10" i="46"/>
  <c r="D42" i="46" s="1"/>
  <c r="S25" i="46"/>
  <c r="Q26" i="46" s="1"/>
  <c r="S26" i="46" s="1"/>
  <c r="Q27" i="46" s="1"/>
  <c r="R29" i="46"/>
  <c r="R28" i="46"/>
  <c r="R27" i="46"/>
  <c r="EA35" i="52"/>
  <c r="DZ35" i="52"/>
  <c r="DY35" i="52"/>
  <c r="DX35" i="52"/>
  <c r="DW35" i="52"/>
  <c r="DV35" i="52"/>
  <c r="DU35" i="52"/>
  <c r="DT35" i="52"/>
  <c r="DS35" i="52"/>
  <c r="DR35" i="52"/>
  <c r="DQ35" i="52"/>
  <c r="DP35" i="52"/>
  <c r="DN35" i="52"/>
  <c r="DM35" i="52"/>
  <c r="DL35" i="52"/>
  <c r="DK35" i="52"/>
  <c r="DJ35" i="52"/>
  <c r="DI35" i="52"/>
  <c r="DH35" i="52"/>
  <c r="DG35" i="52"/>
  <c r="DF35" i="52"/>
  <c r="DE35" i="52"/>
  <c r="DD35" i="52"/>
  <c r="DC35" i="52"/>
  <c r="DA35" i="52"/>
  <c r="CZ35" i="52"/>
  <c r="CY35" i="52"/>
  <c r="CX35" i="52"/>
  <c r="CW35" i="52"/>
  <c r="CV35" i="52"/>
  <c r="CU35" i="52"/>
  <c r="CT35" i="52"/>
  <c r="CS35" i="52"/>
  <c r="CR35" i="52"/>
  <c r="CQ35" i="52"/>
  <c r="CP35" i="52"/>
  <c r="CN35" i="52"/>
  <c r="CM35" i="52"/>
  <c r="CL35" i="52"/>
  <c r="CK35" i="52"/>
  <c r="CJ35" i="52"/>
  <c r="CI35" i="52"/>
  <c r="CH35" i="52"/>
  <c r="CG35" i="52"/>
  <c r="CF35" i="52"/>
  <c r="CE35" i="52"/>
  <c r="CD35" i="52"/>
  <c r="CC35" i="52"/>
  <c r="CA35" i="52"/>
  <c r="BZ35" i="52"/>
  <c r="BY35" i="52"/>
  <c r="BX35" i="52"/>
  <c r="BW35" i="52"/>
  <c r="BV35" i="52"/>
  <c r="BU35" i="52"/>
  <c r="BT35" i="52"/>
  <c r="BS35" i="52"/>
  <c r="BR35" i="52"/>
  <c r="BQ35" i="52"/>
  <c r="BP35" i="52"/>
  <c r="BN35" i="52"/>
  <c r="BM35" i="52"/>
  <c r="BL35" i="52"/>
  <c r="BK35" i="52"/>
  <c r="BJ35" i="52"/>
  <c r="BI35" i="52"/>
  <c r="BH35" i="52"/>
  <c r="BG35" i="52"/>
  <c r="BF35" i="52"/>
  <c r="BE35" i="52"/>
  <c r="BD35" i="52"/>
  <c r="BC35" i="52"/>
  <c r="BA35" i="52"/>
  <c r="AZ35" i="52"/>
  <c r="AY35" i="52"/>
  <c r="AX35" i="52"/>
  <c r="AW35" i="52"/>
  <c r="AV35" i="52"/>
  <c r="AU35" i="52"/>
  <c r="AT35" i="52"/>
  <c r="AS35" i="52"/>
  <c r="AR35" i="52"/>
  <c r="AQ35" i="52"/>
  <c r="AP35" i="52"/>
  <c r="AN35" i="52"/>
  <c r="AM35" i="52"/>
  <c r="AL35" i="52"/>
  <c r="AK35" i="52"/>
  <c r="AJ35" i="52"/>
  <c r="AI35" i="52"/>
  <c r="AH35" i="52"/>
  <c r="AG35" i="52"/>
  <c r="AF35" i="52"/>
  <c r="AE35" i="52"/>
  <c r="AD35" i="52"/>
  <c r="AC35" i="52"/>
  <c r="Y35" i="52"/>
  <c r="Z35" i="52"/>
  <c r="AA35" i="52"/>
  <c r="X35" i="52"/>
  <c r="W35" i="52"/>
  <c r="V35" i="52"/>
  <c r="U35" i="52"/>
  <c r="T35" i="52"/>
  <c r="S35" i="52"/>
  <c r="R35" i="52"/>
  <c r="Q35" i="52"/>
  <c r="P35" i="52"/>
  <c r="G35" i="52"/>
  <c r="H35" i="52"/>
  <c r="I35" i="52"/>
  <c r="J35" i="52"/>
  <c r="K35" i="52"/>
  <c r="L35" i="52"/>
  <c r="M35" i="52"/>
  <c r="N35" i="52"/>
  <c r="EA33" i="52"/>
  <c r="DZ33" i="52"/>
  <c r="DY33" i="52"/>
  <c r="DX33" i="52"/>
  <c r="DW33" i="52"/>
  <c r="DV33" i="52"/>
  <c r="DU33" i="52"/>
  <c r="DT33" i="52"/>
  <c r="DS33" i="52"/>
  <c r="DR33" i="52"/>
  <c r="DQ33" i="52"/>
  <c r="DP33" i="52"/>
  <c r="EA32" i="52"/>
  <c r="DZ32" i="52"/>
  <c r="DY32" i="52"/>
  <c r="DX32" i="52"/>
  <c r="DW32" i="52"/>
  <c r="DV32" i="52"/>
  <c r="DU32" i="52"/>
  <c r="DT32" i="52"/>
  <c r="DS32" i="52"/>
  <c r="DR32" i="52"/>
  <c r="DQ32" i="52"/>
  <c r="DP32" i="52"/>
  <c r="DN33" i="52"/>
  <c r="DM33" i="52"/>
  <c r="DL33" i="52"/>
  <c r="DK33" i="52"/>
  <c r="DJ33" i="52"/>
  <c r="DI33" i="52"/>
  <c r="DH33" i="52"/>
  <c r="DG33" i="52"/>
  <c r="DF33" i="52"/>
  <c r="DE33" i="52"/>
  <c r="DD33" i="52"/>
  <c r="DC33" i="52"/>
  <c r="DN32" i="52"/>
  <c r="DM32" i="52"/>
  <c r="DL32" i="52"/>
  <c r="DK32" i="52"/>
  <c r="DJ32" i="52"/>
  <c r="DI32" i="52"/>
  <c r="DH32" i="52"/>
  <c r="DG32" i="52"/>
  <c r="DF32" i="52"/>
  <c r="DE32" i="52"/>
  <c r="DD32" i="52"/>
  <c r="DC32" i="52"/>
  <c r="DA33" i="52"/>
  <c r="CZ33" i="52"/>
  <c r="CY33" i="52"/>
  <c r="CX33" i="52"/>
  <c r="CW33" i="52"/>
  <c r="CV33" i="52"/>
  <c r="CU33" i="52"/>
  <c r="CT33" i="52"/>
  <c r="CS33" i="52"/>
  <c r="CR33" i="52"/>
  <c r="CQ33" i="52"/>
  <c r="CP33" i="52"/>
  <c r="DA32" i="52"/>
  <c r="CZ32" i="52"/>
  <c r="CY32" i="52"/>
  <c r="CX32" i="52"/>
  <c r="CW32" i="52"/>
  <c r="CV32" i="52"/>
  <c r="CU32" i="52"/>
  <c r="CU34" i="52" s="1"/>
  <c r="CT32" i="52"/>
  <c r="CS32" i="52"/>
  <c r="CR32" i="52"/>
  <c r="CQ32" i="52"/>
  <c r="CP32" i="52"/>
  <c r="CN33" i="52"/>
  <c r="CM33" i="52"/>
  <c r="CL33" i="52"/>
  <c r="CK33" i="52"/>
  <c r="CJ33" i="52"/>
  <c r="CI33" i="52"/>
  <c r="CH33" i="52"/>
  <c r="CG33" i="52"/>
  <c r="CF33" i="52"/>
  <c r="CE33" i="52"/>
  <c r="CD33" i="52"/>
  <c r="CC33" i="52"/>
  <c r="CN32" i="52"/>
  <c r="CM32" i="52"/>
  <c r="CL32" i="52"/>
  <c r="CK32" i="52"/>
  <c r="CJ32" i="52"/>
  <c r="CI32" i="52"/>
  <c r="CH32" i="52"/>
  <c r="CG32" i="52"/>
  <c r="CF32" i="52"/>
  <c r="CE32" i="52"/>
  <c r="CD32" i="52"/>
  <c r="CC32" i="52"/>
  <c r="CA33" i="52"/>
  <c r="BZ33" i="52"/>
  <c r="BY33" i="52"/>
  <c r="BX33" i="52"/>
  <c r="BW33" i="52"/>
  <c r="BV33" i="52"/>
  <c r="BU33" i="52"/>
  <c r="BT33" i="52"/>
  <c r="BS33" i="52"/>
  <c r="BR33" i="52"/>
  <c r="BQ33" i="52"/>
  <c r="BP33" i="52"/>
  <c r="CA32" i="52"/>
  <c r="BZ32" i="52"/>
  <c r="BY32" i="52"/>
  <c r="BX32" i="52"/>
  <c r="BW32" i="52"/>
  <c r="BV32" i="52"/>
  <c r="BU32" i="52"/>
  <c r="BT32" i="52"/>
  <c r="BS32" i="52"/>
  <c r="BR32" i="52"/>
  <c r="BQ32" i="52"/>
  <c r="BP32" i="52"/>
  <c r="BN33" i="52"/>
  <c r="BM33" i="52"/>
  <c r="BL33" i="52"/>
  <c r="BK33" i="52"/>
  <c r="BJ33" i="52"/>
  <c r="BI33" i="52"/>
  <c r="BH33" i="52"/>
  <c r="BG33" i="52"/>
  <c r="BF33" i="52"/>
  <c r="BE33" i="52"/>
  <c r="BD33" i="52"/>
  <c r="BC33" i="52"/>
  <c r="BN32" i="52"/>
  <c r="BM32" i="52"/>
  <c r="BL32" i="52"/>
  <c r="BK32" i="52"/>
  <c r="BJ32" i="52"/>
  <c r="BI32" i="52"/>
  <c r="BH32" i="52"/>
  <c r="BG32" i="52"/>
  <c r="BF32" i="52"/>
  <c r="BF34" i="52" s="1"/>
  <c r="BE32" i="52"/>
  <c r="BD32" i="52"/>
  <c r="BC32" i="52"/>
  <c r="BA33" i="52"/>
  <c r="AZ33" i="52"/>
  <c r="AY33" i="52"/>
  <c r="AX33" i="52"/>
  <c r="AW33" i="52"/>
  <c r="AV33" i="52"/>
  <c r="AU33" i="52"/>
  <c r="AT33" i="52"/>
  <c r="AS33" i="52"/>
  <c r="AR33" i="52"/>
  <c r="AQ33" i="52"/>
  <c r="AP33" i="52"/>
  <c r="BA32" i="52"/>
  <c r="AZ32" i="52"/>
  <c r="AY32" i="52"/>
  <c r="AX32" i="52"/>
  <c r="AW32" i="52"/>
  <c r="AV32" i="52"/>
  <c r="AU32" i="52"/>
  <c r="AT32" i="52"/>
  <c r="AS32" i="52"/>
  <c r="AR32" i="52"/>
  <c r="AQ32" i="52"/>
  <c r="AP32" i="52"/>
  <c r="AN33" i="52"/>
  <c r="AM33" i="52"/>
  <c r="AL33" i="52"/>
  <c r="AK33" i="52"/>
  <c r="AJ33" i="52"/>
  <c r="AI33" i="52"/>
  <c r="AH33" i="52"/>
  <c r="AG33" i="52"/>
  <c r="AF33" i="52"/>
  <c r="AE33" i="52"/>
  <c r="AD33" i="52"/>
  <c r="AC33" i="52"/>
  <c r="AN32" i="52"/>
  <c r="AM32" i="52"/>
  <c r="AL32" i="52"/>
  <c r="AK32" i="52"/>
  <c r="AJ32" i="52"/>
  <c r="AI32" i="52"/>
  <c r="AH32" i="52"/>
  <c r="AG32" i="52"/>
  <c r="AF32" i="52"/>
  <c r="AE32" i="52"/>
  <c r="AD32" i="52"/>
  <c r="AC32" i="52"/>
  <c r="Q32" i="52"/>
  <c r="R32" i="52"/>
  <c r="S32" i="52"/>
  <c r="T32" i="52"/>
  <c r="U32" i="52"/>
  <c r="V32" i="52"/>
  <c r="W32" i="52"/>
  <c r="X32" i="52"/>
  <c r="Y32" i="52"/>
  <c r="Z32" i="52"/>
  <c r="AA32" i="52"/>
  <c r="Q33" i="52"/>
  <c r="R33" i="52"/>
  <c r="S33" i="52"/>
  <c r="T33" i="52"/>
  <c r="U33" i="52"/>
  <c r="V33" i="52"/>
  <c r="W33" i="52"/>
  <c r="X33" i="52"/>
  <c r="Y33" i="52"/>
  <c r="Z33" i="52"/>
  <c r="AA33" i="52"/>
  <c r="P33" i="52"/>
  <c r="P32" i="52"/>
  <c r="G32" i="52"/>
  <c r="H32" i="52"/>
  <c r="I32" i="52"/>
  <c r="J32" i="52"/>
  <c r="K32" i="52"/>
  <c r="L32" i="52"/>
  <c r="M32" i="52"/>
  <c r="N32" i="52"/>
  <c r="G33" i="52"/>
  <c r="H33" i="52"/>
  <c r="I33" i="52"/>
  <c r="J33" i="52"/>
  <c r="K33" i="52"/>
  <c r="L33" i="52"/>
  <c r="M33" i="52"/>
  <c r="N33" i="52"/>
  <c r="F33" i="52"/>
  <c r="F32" i="52"/>
  <c r="K5" i="46" l="1"/>
  <c r="D43" i="46"/>
  <c r="AF34" i="52"/>
  <c r="AF30" i="52" s="1"/>
  <c r="O33" i="52"/>
  <c r="O35" i="52"/>
  <c r="AB35" i="52"/>
  <c r="DO35" i="52"/>
  <c r="DB33" i="52"/>
  <c r="BO35" i="52"/>
  <c r="AO32" i="52"/>
  <c r="BO32" i="52"/>
  <c r="CB32" i="52"/>
  <c r="CO33" i="52"/>
  <c r="DO32" i="52"/>
  <c r="EB32" i="52"/>
  <c r="CO35" i="52"/>
  <c r="BB32" i="52"/>
  <c r="CO32" i="52"/>
  <c r="EB33" i="52"/>
  <c r="CB35" i="52"/>
  <c r="AO33" i="52"/>
  <c r="CB33" i="52"/>
  <c r="DO33" i="52"/>
  <c r="AO35" i="52"/>
  <c r="DB35" i="52"/>
  <c r="BO33" i="52"/>
  <c r="BB35" i="52"/>
  <c r="EB35" i="52"/>
  <c r="AB32" i="52"/>
  <c r="BB33" i="52"/>
  <c r="DB32" i="52"/>
  <c r="AB33" i="52"/>
  <c r="O32" i="52"/>
  <c r="DS34" i="52"/>
  <c r="DS30" i="52" s="1"/>
  <c r="DA34" i="52"/>
  <c r="DA30" i="52" s="1"/>
  <c r="F9" i="62"/>
  <c r="CL34" i="52"/>
  <c r="CL30" i="52" s="1"/>
  <c r="DU34" i="52"/>
  <c r="DU30" i="52" s="1"/>
  <c r="T34" i="52"/>
  <c r="T30" i="52" s="1"/>
  <c r="DH34" i="52"/>
  <c r="DH30" i="52" s="1"/>
  <c r="BH34" i="52"/>
  <c r="BH30" i="52" s="1"/>
  <c r="AU34" i="52"/>
  <c r="AU30" i="52" s="1"/>
  <c r="CF34" i="52"/>
  <c r="CF30" i="52" s="1"/>
  <c r="DT34" i="52"/>
  <c r="DT30" i="52" s="1"/>
  <c r="E7" i="46"/>
  <c r="DF34" i="52"/>
  <c r="DF30" i="52" s="1"/>
  <c r="BI34" i="52"/>
  <c r="BI30" i="52" s="1"/>
  <c r="CT34" i="52"/>
  <c r="CT30" i="52" s="1"/>
  <c r="DI34" i="52"/>
  <c r="DI30" i="52" s="1"/>
  <c r="CD34" i="52"/>
  <c r="CD30" i="52" s="1"/>
  <c r="DR34" i="52"/>
  <c r="DR30" i="52" s="1"/>
  <c r="S36" i="46"/>
  <c r="Q37" i="46" s="1"/>
  <c r="S37" i="46" s="1"/>
  <c r="Q38" i="46" s="1"/>
  <c r="S38" i="46" s="1"/>
  <c r="Q39" i="46" s="1"/>
  <c r="S39" i="46" s="1"/>
  <c r="BD34" i="52"/>
  <c r="BD30" i="52" s="1"/>
  <c r="BT34" i="52"/>
  <c r="BT30" i="52" s="1"/>
  <c r="DG34" i="52"/>
  <c r="DG30" i="52" s="1"/>
  <c r="AG34" i="52"/>
  <c r="AG30" i="52" s="1"/>
  <c r="BA34" i="52"/>
  <c r="BA30" i="52" s="1"/>
  <c r="CC34" i="52"/>
  <c r="AL34" i="52"/>
  <c r="AL30" i="52" s="1"/>
  <c r="AE34" i="52"/>
  <c r="AE30" i="52" s="1"/>
  <c r="BU34" i="52"/>
  <c r="BU30" i="52" s="1"/>
  <c r="AT34" i="52"/>
  <c r="AT30" i="52" s="1"/>
  <c r="S27" i="46"/>
  <c r="Q28" i="46" s="1"/>
  <c r="S28" i="46" s="1"/>
  <c r="Q29" i="46" s="1"/>
  <c r="S29" i="46" s="1"/>
  <c r="L36" i="46"/>
  <c r="L30" i="46"/>
  <c r="L39" i="46"/>
  <c r="L29" i="46"/>
  <c r="L28" i="46"/>
  <c r="L34" i="46"/>
  <c r="L27" i="46"/>
  <c r="L31" i="46"/>
  <c r="L37" i="46"/>
  <c r="L26" i="46"/>
  <c r="L32" i="46"/>
  <c r="L25" i="46"/>
  <c r="L35" i="46"/>
  <c r="L38" i="46"/>
  <c r="L33" i="46"/>
  <c r="AI34" i="52"/>
  <c r="AI30" i="52" s="1"/>
  <c r="H34" i="52"/>
  <c r="H30" i="52" s="1"/>
  <c r="CZ34" i="52"/>
  <c r="CZ30" i="52" s="1"/>
  <c r="DW34" i="52"/>
  <c r="DW30" i="52" s="1"/>
  <c r="CX34" i="52"/>
  <c r="CX30" i="52" s="1"/>
  <c r="BG34" i="52"/>
  <c r="BG30" i="52" s="1"/>
  <c r="AR34" i="52"/>
  <c r="AR30" i="52" s="1"/>
  <c r="BZ34" i="52"/>
  <c r="BZ30" i="52" s="1"/>
  <c r="CE34" i="52"/>
  <c r="CE30" i="52" s="1"/>
  <c r="BM34" i="52"/>
  <c r="BM30" i="52" s="1"/>
  <c r="CJ34" i="52"/>
  <c r="CJ30" i="52" s="1"/>
  <c r="AN34" i="52"/>
  <c r="AN30" i="52" s="1"/>
  <c r="AX34" i="52"/>
  <c r="AX30" i="52" s="1"/>
  <c r="BL34" i="52"/>
  <c r="BL30" i="52" s="1"/>
  <c r="AZ34" i="52"/>
  <c r="AZ30" i="52" s="1"/>
  <c r="AS34" i="52"/>
  <c r="AS30" i="52" s="1"/>
  <c r="W34" i="52"/>
  <c r="W30" i="52" s="1"/>
  <c r="AW34" i="52"/>
  <c r="AW30" i="52" s="1"/>
  <c r="DJ34" i="52"/>
  <c r="DJ30" i="52" s="1"/>
  <c r="AM34" i="52"/>
  <c r="AM30" i="52" s="1"/>
  <c r="DD34" i="52"/>
  <c r="DD30" i="52" s="1"/>
  <c r="CG34" i="52"/>
  <c r="CG30" i="52" s="1"/>
  <c r="AD34" i="52"/>
  <c r="AD30" i="52" s="1"/>
  <c r="CW34" i="52"/>
  <c r="CW30" i="52" s="1"/>
  <c r="CN34" i="52"/>
  <c r="CN30" i="52" s="1"/>
  <c r="BE34" i="52"/>
  <c r="BE30" i="52" s="1"/>
  <c r="DC34" i="52"/>
  <c r="AY34" i="52"/>
  <c r="AY30" i="52" s="1"/>
  <c r="AK34" i="52"/>
  <c r="AK30" i="52" s="1"/>
  <c r="BY34" i="52"/>
  <c r="BY30" i="52" s="1"/>
  <c r="DM34" i="52"/>
  <c r="DM30" i="52" s="1"/>
  <c r="DZ34" i="52"/>
  <c r="DZ30" i="52" s="1"/>
  <c r="BN34" i="52"/>
  <c r="BN30" i="52" s="1"/>
  <c r="DP34" i="52"/>
  <c r="BQ34" i="52"/>
  <c r="BQ30" i="52" s="1"/>
  <c r="M34" i="52"/>
  <c r="M30" i="52" s="1"/>
  <c r="Y34" i="52"/>
  <c r="Y30" i="52" s="1"/>
  <c r="F34" i="52"/>
  <c r="DN34" i="52"/>
  <c r="DN30" i="52" s="1"/>
  <c r="CR34" i="52"/>
  <c r="CR30" i="52" s="1"/>
  <c r="BS34" i="52"/>
  <c r="BS30" i="52" s="1"/>
  <c r="L34" i="52"/>
  <c r="L30" i="52" s="1"/>
  <c r="K34" i="52"/>
  <c r="K30" i="52" s="1"/>
  <c r="CH34" i="52"/>
  <c r="CH30" i="52" s="1"/>
  <c r="V34" i="52"/>
  <c r="V30" i="52" s="1"/>
  <c r="BF30" i="52"/>
  <c r="I34" i="52"/>
  <c r="I30" i="52" s="1"/>
  <c r="DK34" i="52"/>
  <c r="DK30" i="52" s="1"/>
  <c r="BV34" i="52"/>
  <c r="BV30" i="52" s="1"/>
  <c r="DV34" i="52"/>
  <c r="DV30" i="52" s="1"/>
  <c r="BW34" i="52"/>
  <c r="BW30" i="52" s="1"/>
  <c r="BK34" i="52"/>
  <c r="BK30" i="52" s="1"/>
  <c r="BX34" i="52"/>
  <c r="BX30" i="52" s="1"/>
  <c r="CA34" i="52"/>
  <c r="CA30" i="52" s="1"/>
  <c r="G34" i="52"/>
  <c r="G30" i="52" s="1"/>
  <c r="AA34" i="52"/>
  <c r="AA30" i="52" s="1"/>
  <c r="N34" i="52"/>
  <c r="N30" i="52" s="1"/>
  <c r="Z34" i="52"/>
  <c r="Z30" i="52" s="1"/>
  <c r="X34" i="52"/>
  <c r="X30" i="52" s="1"/>
  <c r="U34" i="52"/>
  <c r="U30" i="52" s="1"/>
  <c r="AV34" i="52"/>
  <c r="AV30" i="52" s="1"/>
  <c r="CY34" i="52"/>
  <c r="CY30" i="52" s="1"/>
  <c r="DQ34" i="52"/>
  <c r="DQ30" i="52" s="1"/>
  <c r="DX34" i="52"/>
  <c r="DX30" i="52" s="1"/>
  <c r="CQ34" i="52"/>
  <c r="CQ30" i="52" s="1"/>
  <c r="CU30" i="52"/>
  <c r="DE34" i="52"/>
  <c r="DE30" i="52" s="1"/>
  <c r="CV34" i="52"/>
  <c r="CV30" i="52" s="1"/>
  <c r="BR34" i="52"/>
  <c r="BR30" i="52" s="1"/>
  <c r="CI34" i="52"/>
  <c r="CI30" i="52" s="1"/>
  <c r="J34" i="52"/>
  <c r="J30" i="52" s="1"/>
  <c r="S34" i="52"/>
  <c r="S30" i="52" s="1"/>
  <c r="DL34" i="52"/>
  <c r="DL30" i="52" s="1"/>
  <c r="P34" i="52"/>
  <c r="P30" i="52" s="1"/>
  <c r="CP34" i="52"/>
  <c r="AC34" i="52"/>
  <c r="BC34" i="52"/>
  <c r="BP34" i="52"/>
  <c r="CS34" i="52"/>
  <c r="CS30" i="52" s="1"/>
  <c r="EA34" i="52"/>
  <c r="EA30" i="52" s="1"/>
  <c r="AQ34" i="52"/>
  <c r="AQ30" i="52" s="1"/>
  <c r="AH34" i="52"/>
  <c r="AH30" i="52" s="1"/>
  <c r="BJ34" i="52"/>
  <c r="BJ30" i="52" s="1"/>
  <c r="Q34" i="52"/>
  <c r="Q30" i="52" s="1"/>
  <c r="CK34" i="52"/>
  <c r="CK30" i="52" s="1"/>
  <c r="CM34" i="52"/>
  <c r="AJ34" i="52"/>
  <c r="AJ30" i="52" s="1"/>
  <c r="R34" i="52"/>
  <c r="R30" i="52" s="1"/>
  <c r="AP34" i="52"/>
  <c r="DY34" i="52"/>
  <c r="DY30" i="52" s="1"/>
  <c r="E21" i="46" l="1"/>
  <c r="E22" i="46"/>
  <c r="E23" i="46"/>
  <c r="E10" i="46"/>
  <c r="E15" i="46"/>
  <c r="E12" i="46"/>
  <c r="E13" i="46"/>
  <c r="E16" i="46"/>
  <c r="E17" i="46"/>
  <c r="E14" i="46"/>
  <c r="AB34" i="52"/>
  <c r="AB30" i="52" s="1"/>
  <c r="DP30" i="52"/>
  <c r="EB34" i="52"/>
  <c r="EB30" i="52" s="1"/>
  <c r="F30" i="52"/>
  <c r="O34" i="52"/>
  <c r="O30" i="52" s="1"/>
  <c r="AC30" i="52"/>
  <c r="AO34" i="52"/>
  <c r="AO30" i="52" s="1"/>
  <c r="CC30" i="52"/>
  <c r="CO34" i="52"/>
  <c r="CO30" i="52" s="1"/>
  <c r="BB34" i="52"/>
  <c r="BB30" i="52" s="1"/>
  <c r="BP30" i="52"/>
  <c r="CB34" i="52"/>
  <c r="CB30" i="52" s="1"/>
  <c r="BC30" i="52"/>
  <c r="BO34" i="52"/>
  <c r="BO30" i="52" s="1"/>
  <c r="CP30" i="52"/>
  <c r="DB34" i="52"/>
  <c r="DB30" i="52" s="1"/>
  <c r="DC30" i="52"/>
  <c r="DO34" i="52"/>
  <c r="DO30" i="52" s="1"/>
  <c r="E56" i="52"/>
  <c r="E55" i="52" s="1"/>
  <c r="F56" i="52"/>
  <c r="E9" i="46"/>
  <c r="E8" i="46"/>
  <c r="G9" i="62"/>
  <c r="G12" i="62" s="1"/>
  <c r="K3" i="46"/>
  <c r="K9" i="46" s="1"/>
  <c r="M25" i="46"/>
  <c r="K26" i="46" s="1"/>
  <c r="M26" i="46" s="1"/>
  <c r="K27" i="46" s="1"/>
  <c r="M27" i="46" s="1"/>
  <c r="K28" i="46" s="1"/>
  <c r="M28" i="46" s="1"/>
  <c r="K29" i="46" s="1"/>
  <c r="M29" i="46" s="1"/>
  <c r="K30" i="46" s="1"/>
  <c r="M30" i="46" s="1"/>
  <c r="K31" i="46" s="1"/>
  <c r="M31" i="46" s="1"/>
  <c r="K32" i="46" s="1"/>
  <c r="M32" i="46" s="1"/>
  <c r="K33" i="46" s="1"/>
  <c r="M33" i="46" s="1"/>
  <c r="K34" i="46" s="1"/>
  <c r="M34" i="46" s="1"/>
  <c r="K35" i="46" s="1"/>
  <c r="M35" i="46" s="1"/>
  <c r="K36" i="46" s="1"/>
  <c r="M36" i="46" s="1"/>
  <c r="K37" i="46" s="1"/>
  <c r="M37" i="46" s="1"/>
  <c r="K38" i="46" s="1"/>
  <c r="M38" i="46" s="1"/>
  <c r="K39" i="46" s="1"/>
  <c r="M39" i="46" s="1"/>
  <c r="E4" i="46"/>
  <c r="E42" i="46"/>
  <c r="E34" i="46"/>
  <c r="E5" i="46"/>
  <c r="E35" i="46"/>
  <c r="E26" i="46"/>
  <c r="E37" i="46"/>
  <c r="E6" i="46"/>
  <c r="E27" i="46"/>
  <c r="E36" i="46"/>
  <c r="E28" i="46"/>
  <c r="E29" i="46"/>
  <c r="E38" i="46"/>
  <c r="E24" i="46"/>
  <c r="E30" i="46"/>
  <c r="E39" i="46"/>
  <c r="E31" i="46"/>
  <c r="E40" i="46"/>
  <c r="E20" i="46"/>
  <c r="E25" i="46"/>
  <c r="E33" i="46"/>
  <c r="E41" i="46"/>
  <c r="E11" i="46"/>
  <c r="E19" i="46"/>
  <c r="AT56" i="52"/>
  <c r="AU56" i="52"/>
  <c r="AV56" i="52"/>
  <c r="AW56" i="52"/>
  <c r="AY56" i="52"/>
  <c r="AZ56" i="52"/>
  <c r="AR56" i="52"/>
  <c r="AS56" i="52"/>
  <c r="AX56" i="52"/>
  <c r="BA56" i="52"/>
  <c r="AP56" i="52"/>
  <c r="AQ56" i="52"/>
  <c r="BT56" i="52"/>
  <c r="BT55" i="52" s="1"/>
  <c r="BU56" i="52"/>
  <c r="BU55" i="52" s="1"/>
  <c r="BV56" i="52"/>
  <c r="BV55" i="52" s="1"/>
  <c r="BW56" i="52"/>
  <c r="BW55" i="52" s="1"/>
  <c r="BY56" i="52"/>
  <c r="BY55" i="52" s="1"/>
  <c r="BZ56" i="52"/>
  <c r="BZ55" i="52" s="1"/>
  <c r="BR56" i="52"/>
  <c r="BS56" i="52"/>
  <c r="BS55" i="52" s="1"/>
  <c r="BX56" i="52"/>
  <c r="BX55" i="52" s="1"/>
  <c r="CA56" i="52"/>
  <c r="CA55" i="52" s="1"/>
  <c r="BP56" i="52"/>
  <c r="BQ56" i="52"/>
  <c r="DT56" i="52"/>
  <c r="DT55" i="52" s="1"/>
  <c r="DU56" i="52"/>
  <c r="DU55" i="52" s="1"/>
  <c r="DV56" i="52"/>
  <c r="DV55" i="52" s="1"/>
  <c r="DW56" i="52"/>
  <c r="DW55" i="52" s="1"/>
  <c r="DY56" i="52"/>
  <c r="DY55" i="52" s="1"/>
  <c r="DZ56" i="52"/>
  <c r="DZ55" i="52" s="1"/>
  <c r="DR56" i="52"/>
  <c r="DR55" i="52" s="1"/>
  <c r="DS56" i="52"/>
  <c r="DS55" i="52" s="1"/>
  <c r="DX56" i="52"/>
  <c r="DX55" i="52" s="1"/>
  <c r="EA56" i="52"/>
  <c r="EA55" i="52" s="1"/>
  <c r="DP56" i="52"/>
  <c r="DP55" i="52" s="1"/>
  <c r="DQ56" i="52"/>
  <c r="DQ55" i="52" s="1"/>
  <c r="J56" i="52"/>
  <c r="K56" i="52"/>
  <c r="L56" i="52"/>
  <c r="M56" i="52"/>
  <c r="G56" i="52"/>
  <c r="H56" i="52"/>
  <c r="I56" i="52"/>
  <c r="N56" i="52"/>
  <c r="AG56" i="52"/>
  <c r="AH56" i="52"/>
  <c r="AI56" i="52"/>
  <c r="AJ56" i="52"/>
  <c r="AL56" i="52"/>
  <c r="AM56" i="52"/>
  <c r="AD56" i="52"/>
  <c r="AE56" i="52"/>
  <c r="AF56" i="52"/>
  <c r="AK56" i="52"/>
  <c r="AN56" i="52"/>
  <c r="AC56" i="52"/>
  <c r="CG56" i="52"/>
  <c r="CG55" i="52" s="1"/>
  <c r="CH56" i="52"/>
  <c r="CH55" i="52" s="1"/>
  <c r="CI56" i="52"/>
  <c r="CI55" i="52" s="1"/>
  <c r="CJ56" i="52"/>
  <c r="CJ55" i="52" s="1"/>
  <c r="CL56" i="52"/>
  <c r="CL55" i="52" s="1"/>
  <c r="CM56" i="52"/>
  <c r="CM55" i="52" s="1"/>
  <c r="CD56" i="52"/>
  <c r="CD55" i="52" s="1"/>
  <c r="CE56" i="52"/>
  <c r="CE55" i="52" s="1"/>
  <c r="CF56" i="52"/>
  <c r="CF55" i="52" s="1"/>
  <c r="CK56" i="52"/>
  <c r="CK55" i="52" s="1"/>
  <c r="CC56" i="52"/>
  <c r="CC55" i="52" s="1"/>
  <c r="CN56" i="52"/>
  <c r="CN55" i="52" s="1"/>
  <c r="BG56" i="52"/>
  <c r="BH56" i="52"/>
  <c r="BI56" i="52"/>
  <c r="BJ56" i="52"/>
  <c r="BL56" i="52"/>
  <c r="BM56" i="52"/>
  <c r="BD56" i="52"/>
  <c r="BE56" i="52"/>
  <c r="BF56" i="52"/>
  <c r="BK56" i="52"/>
  <c r="BN56" i="52"/>
  <c r="BC56" i="52"/>
  <c r="CT56" i="52"/>
  <c r="CT55" i="52" s="1"/>
  <c r="CU56" i="52"/>
  <c r="CU55" i="52" s="1"/>
  <c r="CV56" i="52"/>
  <c r="CV55" i="52" s="1"/>
  <c r="CW56" i="52"/>
  <c r="CW55" i="52" s="1"/>
  <c r="CY56" i="52"/>
  <c r="CY55" i="52" s="1"/>
  <c r="CZ56" i="52"/>
  <c r="CZ55" i="52" s="1"/>
  <c r="CR56" i="52"/>
  <c r="CR55" i="52" s="1"/>
  <c r="CS56" i="52"/>
  <c r="CS55" i="52" s="1"/>
  <c r="CX56" i="52"/>
  <c r="CX55" i="52" s="1"/>
  <c r="DA56" i="52"/>
  <c r="DA55" i="52" s="1"/>
  <c r="CP56" i="52"/>
  <c r="CP55" i="52" s="1"/>
  <c r="CQ56" i="52"/>
  <c r="CQ55" i="52" s="1"/>
  <c r="DG56" i="52"/>
  <c r="DG55" i="52" s="1"/>
  <c r="DH56" i="52"/>
  <c r="DH55" i="52" s="1"/>
  <c r="DI56" i="52"/>
  <c r="DI55" i="52" s="1"/>
  <c r="DJ56" i="52"/>
  <c r="DJ55" i="52" s="1"/>
  <c r="DL56" i="52"/>
  <c r="DL55" i="52" s="1"/>
  <c r="DM56" i="52"/>
  <c r="DM55" i="52" s="1"/>
  <c r="DD56" i="52"/>
  <c r="DD55" i="52" s="1"/>
  <c r="DE56" i="52"/>
  <c r="DE55" i="52" s="1"/>
  <c r="DF56" i="52"/>
  <c r="DF55" i="52" s="1"/>
  <c r="DK56" i="52"/>
  <c r="DK55" i="52" s="1"/>
  <c r="DN56" i="52"/>
  <c r="DN55" i="52" s="1"/>
  <c r="DC56" i="52"/>
  <c r="DC55" i="52" s="1"/>
  <c r="T56" i="52"/>
  <c r="U56" i="52"/>
  <c r="V56" i="52"/>
  <c r="W56" i="52"/>
  <c r="Y56" i="52"/>
  <c r="Z56" i="52"/>
  <c r="R56" i="52"/>
  <c r="S56" i="52"/>
  <c r="X56" i="52"/>
  <c r="AA56" i="52"/>
  <c r="P56" i="52"/>
  <c r="Q56" i="52"/>
  <c r="AP30" i="52"/>
  <c r="CM30" i="52"/>
  <c r="E43" i="46" l="1"/>
  <c r="C68" i="52"/>
  <c r="K6" i="46"/>
  <c r="C61" i="52"/>
  <c r="C62" i="52" s="1"/>
  <c r="C64" i="52" s="1"/>
  <c r="C66" i="52" s="1"/>
  <c r="B16" i="71"/>
  <c r="N16" i="61"/>
  <c r="N16" i="71"/>
  <c r="P16" i="61"/>
  <c r="P16" i="71"/>
  <c r="J16" i="61"/>
  <c r="J16" i="71"/>
  <c r="H16" i="61"/>
  <c r="H16" i="71"/>
  <c r="D16" i="61"/>
  <c r="D16" i="71"/>
  <c r="T16" i="61"/>
  <c r="T16" i="71"/>
  <c r="R16" i="61"/>
  <c r="R16" i="71"/>
  <c r="B16" i="61"/>
  <c r="L16" i="61"/>
  <c r="L16" i="71"/>
  <c r="F16" i="61"/>
  <c r="F16" i="71"/>
  <c r="BQ58" i="52"/>
  <c r="BP58" i="52"/>
  <c r="EA14" i="52"/>
  <c r="V16" i="71" l="1"/>
  <c r="BL14" i="52"/>
  <c r="BM20" i="52"/>
  <c r="DX14" i="52"/>
  <c r="DY20" i="52"/>
  <c r="DH14" i="52"/>
  <c r="DI20" i="52"/>
  <c r="I14" i="52"/>
  <c r="J20" i="52"/>
  <c r="BV14" i="52"/>
  <c r="BW20" i="52"/>
  <c r="J14" i="52"/>
  <c r="K20" i="52"/>
  <c r="BW14" i="52"/>
  <c r="BX20" i="52"/>
  <c r="X14" i="52"/>
  <c r="Y20" i="52"/>
  <c r="DK14" i="52"/>
  <c r="DL20" i="52"/>
  <c r="DL14" i="52"/>
  <c r="DM20" i="52"/>
  <c r="AH14" i="52"/>
  <c r="AI20" i="52"/>
  <c r="CH14" i="52"/>
  <c r="CI20" i="52"/>
  <c r="AV14" i="52"/>
  <c r="AW20" i="52"/>
  <c r="CI14" i="52"/>
  <c r="CJ20" i="52"/>
  <c r="BJ14" i="52"/>
  <c r="BK20" i="52"/>
  <c r="DW14" i="52"/>
  <c r="DX20" i="52"/>
  <c r="AK14" i="52"/>
  <c r="AL20" i="52"/>
  <c r="BX14" i="52"/>
  <c r="BY20" i="52"/>
  <c r="Y14" i="52"/>
  <c r="Z20" i="52"/>
  <c r="CY14" i="52"/>
  <c r="CZ20" i="52"/>
  <c r="AZ14" i="52"/>
  <c r="BA20" i="52"/>
  <c r="CZ14" i="52"/>
  <c r="DA20" i="52"/>
  <c r="AA14" i="52"/>
  <c r="AC20" i="52"/>
  <c r="AU14" i="52"/>
  <c r="AV20" i="52"/>
  <c r="BU14" i="52"/>
  <c r="BV20" i="52"/>
  <c r="AI14" i="52"/>
  <c r="AJ20" i="52"/>
  <c r="CV14" i="52"/>
  <c r="CW20" i="52"/>
  <c r="W14" i="52"/>
  <c r="X20" i="52"/>
  <c r="CJ14" i="52"/>
  <c r="CK20" i="52"/>
  <c r="K14" i="52"/>
  <c r="L20" i="52"/>
  <c r="CK14" i="52"/>
  <c r="CL20" i="52"/>
  <c r="L14" i="52"/>
  <c r="M19" i="52"/>
  <c r="M20" i="52"/>
  <c r="BY14" i="52"/>
  <c r="BZ20" i="52"/>
  <c r="M14" i="52"/>
  <c r="N20" i="52"/>
  <c r="BM14" i="52"/>
  <c r="BN20" i="52"/>
  <c r="DM14" i="52"/>
  <c r="DN20" i="52"/>
  <c r="N14" i="52"/>
  <c r="P20" i="52"/>
  <c r="BA14" i="52"/>
  <c r="BC20" i="52"/>
  <c r="CA14" i="52"/>
  <c r="CC20" i="52"/>
  <c r="DA14" i="52"/>
  <c r="DC20" i="52"/>
  <c r="P14" i="52"/>
  <c r="Q20" i="52"/>
  <c r="AP14" i="52"/>
  <c r="AQ20" i="52"/>
  <c r="BP14" i="52"/>
  <c r="BQ20" i="52"/>
  <c r="CP14" i="52"/>
  <c r="CQ20" i="52"/>
  <c r="DC14" i="52"/>
  <c r="DD20" i="52"/>
  <c r="Q14" i="52"/>
  <c r="R20" i="52"/>
  <c r="AQ14" i="52"/>
  <c r="AR20" i="52"/>
  <c r="BQ14" i="52"/>
  <c r="BR20" i="52"/>
  <c r="CQ14" i="52"/>
  <c r="CR20" i="52"/>
  <c r="DD14" i="52"/>
  <c r="DE20" i="52"/>
  <c r="DQ14" i="52"/>
  <c r="DR20" i="52"/>
  <c r="DU14" i="52"/>
  <c r="DV20" i="52"/>
  <c r="U14" i="52"/>
  <c r="V20" i="52"/>
  <c r="CU14" i="52"/>
  <c r="CV20" i="52"/>
  <c r="BI14" i="52"/>
  <c r="BJ20" i="52"/>
  <c r="DV14" i="52"/>
  <c r="DW20" i="52"/>
  <c r="AJ14" i="52"/>
  <c r="AK20" i="52"/>
  <c r="CW14" i="52"/>
  <c r="CX20" i="52"/>
  <c r="BK14" i="52"/>
  <c r="BL20" i="52"/>
  <c r="AY14" i="52"/>
  <c r="AZ20" i="52"/>
  <c r="DY14" i="52"/>
  <c r="DZ20" i="52"/>
  <c r="AM14" i="52"/>
  <c r="AN20" i="52"/>
  <c r="BZ14" i="52"/>
  <c r="CA20" i="52"/>
  <c r="DZ14" i="52"/>
  <c r="EA20" i="52"/>
  <c r="AN14" i="52"/>
  <c r="AP20" i="52"/>
  <c r="BN14" i="52"/>
  <c r="BP20" i="52"/>
  <c r="CN14" i="52"/>
  <c r="CP20" i="52"/>
  <c r="DN14" i="52"/>
  <c r="DP20" i="52"/>
  <c r="AC14" i="52"/>
  <c r="AD20" i="52"/>
  <c r="BC14" i="52"/>
  <c r="BD20" i="52"/>
  <c r="CC14" i="52"/>
  <c r="CD20" i="52"/>
  <c r="DP14" i="52"/>
  <c r="DQ20" i="52"/>
  <c r="AD14" i="52"/>
  <c r="AE20" i="52"/>
  <c r="BD14" i="52"/>
  <c r="BE20" i="52"/>
  <c r="CD14" i="52"/>
  <c r="CE20" i="52"/>
  <c r="R14" i="52"/>
  <c r="S20" i="52"/>
  <c r="AE14" i="52"/>
  <c r="AF20" i="52"/>
  <c r="AR14" i="52"/>
  <c r="AS20" i="52"/>
  <c r="BE14" i="52"/>
  <c r="BF20" i="52"/>
  <c r="BR14" i="52"/>
  <c r="BS20" i="52"/>
  <c r="CE14" i="52"/>
  <c r="CF20" i="52"/>
  <c r="CR14" i="52"/>
  <c r="CS20" i="52"/>
  <c r="DE14" i="52"/>
  <c r="DF20" i="52"/>
  <c r="DR14" i="52"/>
  <c r="DS20" i="52"/>
  <c r="S14" i="52"/>
  <c r="T20" i="52"/>
  <c r="AF14" i="52"/>
  <c r="AG20" i="52"/>
  <c r="AS14" i="52"/>
  <c r="AT20" i="52"/>
  <c r="BF14" i="52"/>
  <c r="BG20" i="52"/>
  <c r="BS14" i="52"/>
  <c r="BT20" i="52"/>
  <c r="CF14" i="52"/>
  <c r="CG20" i="52"/>
  <c r="CS14" i="52"/>
  <c r="CT20" i="52"/>
  <c r="DF14" i="52"/>
  <c r="DG20" i="52"/>
  <c r="DS14" i="52"/>
  <c r="DT20" i="52"/>
  <c r="I20" i="52"/>
  <c r="H14" i="52"/>
  <c r="BH14" i="52"/>
  <c r="BI20" i="52"/>
  <c r="V14" i="52"/>
  <c r="W20" i="52"/>
  <c r="DI14" i="52"/>
  <c r="DJ20" i="52"/>
  <c r="AW14" i="52"/>
  <c r="AX20" i="52"/>
  <c r="DJ14" i="52"/>
  <c r="DK20" i="52"/>
  <c r="AX14" i="52"/>
  <c r="AY20" i="52"/>
  <c r="CX14" i="52"/>
  <c r="CY20" i="52"/>
  <c r="AL14" i="52"/>
  <c r="AM20" i="52"/>
  <c r="CL14" i="52"/>
  <c r="CM20" i="52"/>
  <c r="Z14" i="52"/>
  <c r="AA20" i="52"/>
  <c r="CM14" i="52"/>
  <c r="CN20" i="52"/>
  <c r="T14" i="52"/>
  <c r="U20" i="52"/>
  <c r="AG14" i="52"/>
  <c r="AH20" i="52"/>
  <c r="AT14" i="52"/>
  <c r="AU20" i="52"/>
  <c r="BG14" i="52"/>
  <c r="BH20" i="52"/>
  <c r="BT14" i="52"/>
  <c r="BU20" i="52"/>
  <c r="CG14" i="52"/>
  <c r="CH20" i="52"/>
  <c r="CT14" i="52"/>
  <c r="CU20" i="52"/>
  <c r="DG14" i="52"/>
  <c r="DH20" i="52"/>
  <c r="DT14" i="52"/>
  <c r="DU20" i="52"/>
  <c r="P10" i="62"/>
  <c r="P11" i="62" s="1"/>
  <c r="Q10" i="62"/>
  <c r="Q11" i="62" s="1"/>
  <c r="R10" i="62"/>
  <c r="R11" i="62" s="1"/>
  <c r="S10" i="62"/>
  <c r="S11" i="62" s="1"/>
  <c r="J10" i="62"/>
  <c r="J11" i="62" s="1"/>
  <c r="L10" i="62"/>
  <c r="L11" i="62" s="1"/>
  <c r="I10" i="62"/>
  <c r="I11" i="62" s="1"/>
  <c r="K10" i="62"/>
  <c r="K11" i="62" s="1"/>
  <c r="M10" i="62"/>
  <c r="M11" i="62" s="1"/>
  <c r="N10" i="62"/>
  <c r="N11" i="62" s="1"/>
  <c r="O10" i="62"/>
  <c r="O11" i="62" s="1"/>
  <c r="H10" i="62"/>
  <c r="AE17" i="52"/>
  <c r="U19" i="52"/>
  <c r="Z19" i="52"/>
  <c r="N19" i="52"/>
  <c r="AA19" i="52"/>
  <c r="R19" i="52"/>
  <c r="AE19" i="52"/>
  <c r="T19" i="52"/>
  <c r="F55" i="52"/>
  <c r="CB58" i="52"/>
  <c r="CO6" i="52"/>
  <c r="EB6" i="52"/>
  <c r="O9" i="52"/>
  <c r="BB6" i="52"/>
  <c r="BO6" i="52"/>
  <c r="CB6" i="52"/>
  <c r="DB6" i="52"/>
  <c r="DO6" i="52"/>
  <c r="AO6" i="52"/>
  <c r="AB6" i="52"/>
  <c r="O6" i="52"/>
  <c r="H11" i="62" l="1"/>
  <c r="S12" i="62"/>
  <c r="H9" i="62"/>
  <c r="I15" i="52"/>
  <c r="EA45" i="52"/>
  <c r="DZ45" i="52"/>
  <c r="DY45" i="52"/>
  <c r="DX45" i="52"/>
  <c r="DW45" i="52"/>
  <c r="DV45" i="52"/>
  <c r="DU45" i="52"/>
  <c r="DT45" i="52"/>
  <c r="DS45" i="52"/>
  <c r="DR45" i="52"/>
  <c r="DQ45" i="52"/>
  <c r="DP45" i="52"/>
  <c r="DN45" i="52"/>
  <c r="DM45" i="52"/>
  <c r="DL45" i="52"/>
  <c r="DK45" i="52"/>
  <c r="DJ45" i="52"/>
  <c r="DI45" i="52"/>
  <c r="DH45" i="52"/>
  <c r="DG45" i="52"/>
  <c r="DF45" i="52"/>
  <c r="DE45" i="52"/>
  <c r="DD45" i="52"/>
  <c r="DC45" i="52"/>
  <c r="DA45" i="52"/>
  <c r="CZ45" i="52"/>
  <c r="CY45" i="52"/>
  <c r="CX45" i="52"/>
  <c r="CW45" i="52"/>
  <c r="CV45" i="52"/>
  <c r="CU45" i="52"/>
  <c r="CT45" i="52"/>
  <c r="CS45" i="52"/>
  <c r="CR45" i="52"/>
  <c r="CQ45" i="52"/>
  <c r="CP45" i="52"/>
  <c r="CN45" i="52"/>
  <c r="CM45" i="52"/>
  <c r="CL45" i="52"/>
  <c r="CK45" i="52"/>
  <c r="CJ45" i="52"/>
  <c r="CI45" i="52"/>
  <c r="CH45" i="52"/>
  <c r="CG45" i="52"/>
  <c r="CF45" i="52"/>
  <c r="CE45" i="52"/>
  <c r="CD45" i="52"/>
  <c r="CC45" i="52"/>
  <c r="CA45" i="52"/>
  <c r="BZ45" i="52"/>
  <c r="BY45" i="52"/>
  <c r="BX45" i="52"/>
  <c r="BW45" i="52"/>
  <c r="BV45" i="52"/>
  <c r="BU45" i="52"/>
  <c r="BT45" i="52"/>
  <c r="BS45" i="52"/>
  <c r="BR45" i="52"/>
  <c r="BQ45" i="52"/>
  <c r="BP45" i="52"/>
  <c r="BN45" i="52"/>
  <c r="BM45" i="52"/>
  <c r="BL45" i="52"/>
  <c r="BK45" i="52"/>
  <c r="BJ45" i="52"/>
  <c r="BI45" i="52"/>
  <c r="BH45" i="52"/>
  <c r="BG45" i="52"/>
  <c r="BF45" i="52"/>
  <c r="BE45" i="52"/>
  <c r="BD45" i="52"/>
  <c r="BC45" i="52"/>
  <c r="BA45" i="52"/>
  <c r="AZ45" i="52"/>
  <c r="AY45" i="52"/>
  <c r="AX45" i="52"/>
  <c r="AW45" i="52"/>
  <c r="AV45" i="52"/>
  <c r="AU45" i="52"/>
  <c r="AT45" i="52"/>
  <c r="AS45" i="52"/>
  <c r="AR45" i="52"/>
  <c r="AQ45" i="52"/>
  <c r="AP45" i="52"/>
  <c r="AN45" i="52"/>
  <c r="AM45" i="52"/>
  <c r="AL45" i="52"/>
  <c r="AK45" i="52"/>
  <c r="AJ45" i="52"/>
  <c r="AI45" i="52"/>
  <c r="AH45" i="52"/>
  <c r="AG45" i="52"/>
  <c r="AF45" i="52"/>
  <c r="AE45" i="52"/>
  <c r="AD45" i="52"/>
  <c r="AC45" i="52"/>
  <c r="Q45" i="52"/>
  <c r="R45" i="52"/>
  <c r="S45" i="52"/>
  <c r="T45" i="52"/>
  <c r="U45" i="52"/>
  <c r="V45" i="52"/>
  <c r="W45" i="52"/>
  <c r="X45" i="52"/>
  <c r="Y45" i="52"/>
  <c r="Z45" i="52"/>
  <c r="AA45" i="52"/>
  <c r="P45" i="52"/>
  <c r="H45" i="52"/>
  <c r="I45" i="52"/>
  <c r="J45" i="52"/>
  <c r="K45" i="52"/>
  <c r="L45" i="52"/>
  <c r="M45" i="52"/>
  <c r="N45" i="52"/>
  <c r="G45" i="52"/>
  <c r="EA44" i="52"/>
  <c r="DZ44" i="52"/>
  <c r="DY44" i="52"/>
  <c r="DX44" i="52"/>
  <c r="DW44" i="52"/>
  <c r="DV44" i="52"/>
  <c r="DU44" i="52"/>
  <c r="DT44" i="52"/>
  <c r="DS44" i="52"/>
  <c r="DR44" i="52"/>
  <c r="DQ44" i="52"/>
  <c r="DP44" i="52"/>
  <c r="DN44" i="52"/>
  <c r="DM44" i="52"/>
  <c r="DL44" i="52"/>
  <c r="DK44" i="52"/>
  <c r="DJ44" i="52"/>
  <c r="DI44" i="52"/>
  <c r="DH44" i="52"/>
  <c r="DG44" i="52"/>
  <c r="DF44" i="52"/>
  <c r="DE44" i="52"/>
  <c r="DD44" i="52"/>
  <c r="DC44" i="52"/>
  <c r="DA44" i="52"/>
  <c r="CZ44" i="52"/>
  <c r="CY44" i="52"/>
  <c r="CX44" i="52"/>
  <c r="CW44" i="52"/>
  <c r="CV44" i="52"/>
  <c r="CU44" i="52"/>
  <c r="CT44" i="52"/>
  <c r="CS44" i="52"/>
  <c r="CR44" i="52"/>
  <c r="CQ44" i="52"/>
  <c r="CP44" i="52"/>
  <c r="CN44" i="52"/>
  <c r="CM44" i="52"/>
  <c r="CL44" i="52"/>
  <c r="CK44" i="52"/>
  <c r="CJ44" i="52"/>
  <c r="CI44" i="52"/>
  <c r="CH44" i="52"/>
  <c r="CG44" i="52"/>
  <c r="CF44" i="52"/>
  <c r="CE44" i="52"/>
  <c r="CD44" i="52"/>
  <c r="CC44" i="52"/>
  <c r="CA44" i="52"/>
  <c r="BZ44" i="52"/>
  <c r="BY44" i="52"/>
  <c r="BX44" i="52"/>
  <c r="BW44" i="52"/>
  <c r="BV44" i="52"/>
  <c r="BU44" i="52"/>
  <c r="BT44" i="52"/>
  <c r="BS44" i="52"/>
  <c r="BR44" i="52"/>
  <c r="BQ44" i="52"/>
  <c r="BP44" i="52"/>
  <c r="BN44" i="52"/>
  <c r="BM44" i="52"/>
  <c r="BL44" i="52"/>
  <c r="BK44" i="52"/>
  <c r="BJ44" i="52"/>
  <c r="BI44" i="52"/>
  <c r="BH44" i="52"/>
  <c r="BG44" i="52"/>
  <c r="BF44" i="52"/>
  <c r="BE44" i="52"/>
  <c r="BD44" i="52"/>
  <c r="BC44" i="52"/>
  <c r="BA44" i="52"/>
  <c r="AZ44" i="52"/>
  <c r="AY44" i="52"/>
  <c r="AX44" i="52"/>
  <c r="AW44" i="52"/>
  <c r="AV44" i="52"/>
  <c r="AU44" i="52"/>
  <c r="AT44" i="52"/>
  <c r="AS44" i="52"/>
  <c r="AR44" i="52"/>
  <c r="AQ44" i="52"/>
  <c r="AP44" i="52"/>
  <c r="AN44" i="52"/>
  <c r="AM44" i="52"/>
  <c r="AL44" i="52"/>
  <c r="AK44" i="52"/>
  <c r="AJ44" i="52"/>
  <c r="AI44" i="52"/>
  <c r="AH44" i="52"/>
  <c r="AG44" i="52"/>
  <c r="AF44" i="52"/>
  <c r="AE44" i="52"/>
  <c r="AD44" i="52"/>
  <c r="AC44" i="52"/>
  <c r="X44" i="52"/>
  <c r="Y44" i="52"/>
  <c r="Z44" i="52"/>
  <c r="AA44" i="52"/>
  <c r="W44" i="52"/>
  <c r="V44" i="52"/>
  <c r="U44" i="52"/>
  <c r="T44" i="52"/>
  <c r="S44" i="52"/>
  <c r="R44" i="52"/>
  <c r="Q44" i="52"/>
  <c r="P44" i="52"/>
  <c r="H44" i="52"/>
  <c r="I44" i="52"/>
  <c r="J44" i="52"/>
  <c r="K44" i="52"/>
  <c r="L44" i="52"/>
  <c r="M44" i="52"/>
  <c r="N44" i="52"/>
  <c r="G44" i="52"/>
  <c r="O45" i="52" l="1"/>
  <c r="AB44" i="52"/>
  <c r="BB44" i="52"/>
  <c r="CB44" i="52"/>
  <c r="CO44" i="52"/>
  <c r="DB44" i="52"/>
  <c r="EB44" i="52"/>
  <c r="O44" i="52"/>
  <c r="AO44" i="52"/>
  <c r="BO44" i="52"/>
  <c r="DO44" i="52"/>
  <c r="AB45" i="52"/>
  <c r="BB45" i="52"/>
  <c r="CB45" i="52"/>
  <c r="DO45" i="52"/>
  <c r="AO45" i="52"/>
  <c r="BO45" i="52"/>
  <c r="CO45" i="52"/>
  <c r="DB45" i="52"/>
  <c r="EB45" i="52"/>
  <c r="I9" i="62"/>
  <c r="H5" i="52"/>
  <c r="J15" i="52" s="1"/>
  <c r="J9" i="62" l="1"/>
  <c r="I7" i="52"/>
  <c r="K9" i="62" l="1"/>
  <c r="L9" i="62" s="1"/>
  <c r="M9" i="62" s="1"/>
  <c r="N9" i="62" s="1"/>
  <c r="O9" i="62" s="1"/>
  <c r="P9" i="62" s="1"/>
  <c r="Q9" i="62" s="1"/>
  <c r="R9" i="62" s="1"/>
  <c r="S9" i="62" s="1"/>
  <c r="I5" i="52"/>
  <c r="K15" i="52" s="1"/>
  <c r="AE23" i="52"/>
  <c r="J7" i="52" l="1"/>
  <c r="I23" i="52"/>
  <c r="I25" i="52" s="1"/>
  <c r="J5" i="52" l="1"/>
  <c r="L15" i="52" s="1"/>
  <c r="J23" i="52"/>
  <c r="K23" i="52"/>
  <c r="L23" i="52"/>
  <c r="K7" i="52" l="1"/>
  <c r="O26" i="52"/>
  <c r="B24" i="61" l="1"/>
  <c r="B24" i="71"/>
  <c r="B23" i="61"/>
  <c r="B23" i="71"/>
  <c r="B22" i="61"/>
  <c r="B22" i="71"/>
  <c r="B21" i="61"/>
  <c r="B21" i="71"/>
  <c r="K5" i="52"/>
  <c r="M15" i="52" s="1"/>
  <c r="L7" i="52" l="1"/>
  <c r="L5" i="52" s="1"/>
  <c r="N15" i="52" s="1"/>
  <c r="O20" i="52"/>
  <c r="M7" i="52" l="1"/>
  <c r="M5" i="52" s="1"/>
  <c r="P15" i="52" s="1"/>
  <c r="EB19" i="52"/>
  <c r="EB26" i="52"/>
  <c r="T20" i="61"/>
  <c r="EB58" i="52"/>
  <c r="DO19" i="52"/>
  <c r="DO26" i="52"/>
  <c r="R20" i="61"/>
  <c r="DO58" i="52"/>
  <c r="DB19" i="52"/>
  <c r="DB26" i="52"/>
  <c r="P20" i="61"/>
  <c r="DB58" i="52"/>
  <c r="CO19" i="52"/>
  <c r="CO26" i="52"/>
  <c r="N20" i="61"/>
  <c r="CO58" i="52"/>
  <c r="CB19" i="52"/>
  <c r="CB26" i="52"/>
  <c r="L20" i="61"/>
  <c r="BO19" i="52"/>
  <c r="BO26" i="52"/>
  <c r="J20" i="61"/>
  <c r="BB19" i="52"/>
  <c r="BB26" i="52"/>
  <c r="H20" i="61"/>
  <c r="AO26" i="52"/>
  <c r="F20" i="61"/>
  <c r="AB26" i="52"/>
  <c r="D20" i="61"/>
  <c r="T23" i="61" l="1"/>
  <c r="T23" i="71"/>
  <c r="D23" i="61"/>
  <c r="D23" i="71"/>
  <c r="H24" i="61"/>
  <c r="H24" i="71"/>
  <c r="N22" i="61"/>
  <c r="N22" i="71"/>
  <c r="T22" i="61"/>
  <c r="T22" i="71"/>
  <c r="F21" i="61"/>
  <c r="F21" i="71"/>
  <c r="J21" i="61"/>
  <c r="J21" i="71"/>
  <c r="H23" i="61"/>
  <c r="H23" i="71"/>
  <c r="H22" i="61"/>
  <c r="H22" i="71"/>
  <c r="R23" i="61"/>
  <c r="R23" i="71"/>
  <c r="J22" i="61"/>
  <c r="J22" i="71"/>
  <c r="P21" i="61"/>
  <c r="P21" i="71"/>
  <c r="N24" i="61"/>
  <c r="N24" i="71"/>
  <c r="T24" i="61"/>
  <c r="T24" i="71"/>
  <c r="D24" i="61"/>
  <c r="D24" i="71"/>
  <c r="N23" i="61"/>
  <c r="N23" i="71"/>
  <c r="D22" i="61"/>
  <c r="D22" i="71"/>
  <c r="N21" i="61"/>
  <c r="N21" i="71"/>
  <c r="T21" i="61"/>
  <c r="T21" i="71"/>
  <c r="D21" i="61"/>
  <c r="D21" i="71"/>
  <c r="L24" i="61"/>
  <c r="L24" i="71"/>
  <c r="R24" i="61"/>
  <c r="R24" i="71"/>
  <c r="H21" i="61"/>
  <c r="H21" i="71"/>
  <c r="L23" i="61"/>
  <c r="L23" i="71"/>
  <c r="L22" i="61"/>
  <c r="L22" i="71"/>
  <c r="R22" i="61"/>
  <c r="R22" i="71"/>
  <c r="L21" i="61"/>
  <c r="L21" i="71"/>
  <c r="R21" i="61"/>
  <c r="R21" i="71"/>
  <c r="F24" i="61"/>
  <c r="F24" i="71"/>
  <c r="P24" i="61"/>
  <c r="P24" i="71"/>
  <c r="F23" i="61"/>
  <c r="F23" i="71"/>
  <c r="J24" i="61"/>
  <c r="J24" i="71"/>
  <c r="P23" i="61"/>
  <c r="P23" i="71"/>
  <c r="F22" i="61"/>
  <c r="F22" i="71"/>
  <c r="J23" i="61"/>
  <c r="J23" i="71"/>
  <c r="P22" i="61"/>
  <c r="P22" i="71"/>
  <c r="N7" i="52"/>
  <c r="O7" i="52" s="1"/>
  <c r="V22" i="61" l="1"/>
  <c r="V21" i="61"/>
  <c r="V24" i="61"/>
  <c r="V23" i="61"/>
  <c r="V22" i="71"/>
  <c r="V24" i="71"/>
  <c r="V21" i="71"/>
  <c r="V23" i="71"/>
  <c r="N5" i="52"/>
  <c r="Q15" i="52" s="1"/>
  <c r="BN58" i="52"/>
  <c r="BM58" i="52"/>
  <c r="BL58" i="52"/>
  <c r="BK58" i="52"/>
  <c r="BJ58" i="52"/>
  <c r="BI58" i="52"/>
  <c r="BH58" i="52"/>
  <c r="BG58" i="52"/>
  <c r="BF58" i="52"/>
  <c r="BE58" i="52"/>
  <c r="BD58" i="52"/>
  <c r="BC58" i="52"/>
  <c r="BA58" i="52"/>
  <c r="AZ58" i="52"/>
  <c r="AY58" i="52"/>
  <c r="AX58" i="52"/>
  <c r="AW58" i="52"/>
  <c r="AV58" i="52"/>
  <c r="AU58" i="52"/>
  <c r="AT58" i="52"/>
  <c r="AS58" i="52"/>
  <c r="AR58" i="52"/>
  <c r="AQ58" i="52"/>
  <c r="AP58" i="52"/>
  <c r="AN58" i="52"/>
  <c r="AM58" i="52"/>
  <c r="AL58" i="52"/>
  <c r="AK58" i="52"/>
  <c r="AJ58" i="52"/>
  <c r="AI58" i="52"/>
  <c r="AH58" i="52"/>
  <c r="AG58" i="52"/>
  <c r="AF58" i="52"/>
  <c r="AE58" i="52"/>
  <c r="AD58" i="52"/>
  <c r="AC58" i="52"/>
  <c r="AA58" i="52"/>
  <c r="Z58" i="52"/>
  <c r="Y58" i="52"/>
  <c r="X58" i="52"/>
  <c r="W58" i="52"/>
  <c r="V58" i="52"/>
  <c r="U58" i="52"/>
  <c r="T58" i="52"/>
  <c r="S58" i="52"/>
  <c r="R58" i="52"/>
  <c r="Q58" i="52"/>
  <c r="P58" i="52"/>
  <c r="N58" i="52"/>
  <c r="M58" i="52"/>
  <c r="L58" i="52"/>
  <c r="K58" i="52"/>
  <c r="J58" i="52"/>
  <c r="I58" i="52"/>
  <c r="H58" i="52"/>
  <c r="G58" i="52"/>
  <c r="B20" i="61"/>
  <c r="V20" i="61" s="1"/>
  <c r="EA41" i="52"/>
  <c r="DZ41" i="52"/>
  <c r="DY41" i="52"/>
  <c r="DX41" i="52"/>
  <c r="DW41" i="52"/>
  <c r="DV41" i="52"/>
  <c r="DU41" i="52"/>
  <c r="DT41" i="52"/>
  <c r="DS41" i="52"/>
  <c r="DR41" i="52"/>
  <c r="DQ41" i="52"/>
  <c r="DP41" i="52"/>
  <c r="DN41" i="52"/>
  <c r="DM41" i="52"/>
  <c r="DL41" i="52"/>
  <c r="DK41" i="52"/>
  <c r="DJ41" i="52"/>
  <c r="DI41" i="52"/>
  <c r="DH41" i="52"/>
  <c r="DG41" i="52"/>
  <c r="DF41" i="52"/>
  <c r="DE41" i="52"/>
  <c r="DD41" i="52"/>
  <c r="DC41" i="52"/>
  <c r="DA41" i="52"/>
  <c r="CZ41" i="52"/>
  <c r="CY41" i="52"/>
  <c r="CX41" i="52"/>
  <c r="CW41" i="52"/>
  <c r="CV41" i="52"/>
  <c r="CU41" i="52"/>
  <c r="CT41" i="52"/>
  <c r="CS41" i="52"/>
  <c r="CR41" i="52"/>
  <c r="CQ41" i="52"/>
  <c r="CP41" i="52"/>
  <c r="CN41" i="52"/>
  <c r="CM41" i="52"/>
  <c r="CL41" i="52"/>
  <c r="CK41" i="52"/>
  <c r="CJ41" i="52"/>
  <c r="CI41" i="52"/>
  <c r="CH41" i="52"/>
  <c r="CG41" i="52"/>
  <c r="CF41" i="52"/>
  <c r="CE41" i="52"/>
  <c r="CD41" i="52"/>
  <c r="CC41" i="52"/>
  <c r="CA41" i="52"/>
  <c r="BZ41" i="52"/>
  <c r="BY41" i="52"/>
  <c r="BX41" i="52"/>
  <c r="BW41" i="52"/>
  <c r="BV41" i="52"/>
  <c r="BU41" i="52"/>
  <c r="BT41" i="52"/>
  <c r="BS41" i="52"/>
  <c r="BR41" i="52"/>
  <c r="BQ41" i="52"/>
  <c r="BP41" i="52"/>
  <c r="BN41" i="52"/>
  <c r="BM41" i="52"/>
  <c r="BL41" i="52"/>
  <c r="BK41" i="52"/>
  <c r="BJ41" i="52"/>
  <c r="BI41" i="52"/>
  <c r="BH41" i="52"/>
  <c r="BG41" i="52"/>
  <c r="BF41" i="52"/>
  <c r="BE41" i="52"/>
  <c r="BD41" i="52"/>
  <c r="BC41" i="52"/>
  <c r="BA41" i="52"/>
  <c r="AZ41" i="52"/>
  <c r="AY41" i="52"/>
  <c r="AX41" i="52"/>
  <c r="AW41" i="52"/>
  <c r="AV41" i="52"/>
  <c r="AU41" i="52"/>
  <c r="AT41" i="52"/>
  <c r="AS41" i="52"/>
  <c r="AR41" i="52"/>
  <c r="AQ41" i="52"/>
  <c r="AP41" i="52"/>
  <c r="AN41" i="52"/>
  <c r="AM41" i="52"/>
  <c r="AL41" i="52"/>
  <c r="AK41" i="52"/>
  <c r="AJ41" i="52"/>
  <c r="AI41" i="52"/>
  <c r="AH41" i="52"/>
  <c r="AG41" i="52"/>
  <c r="AF41" i="52"/>
  <c r="AE41" i="52"/>
  <c r="AD41" i="52"/>
  <c r="AC41" i="52"/>
  <c r="AA41" i="52"/>
  <c r="Z41" i="52"/>
  <c r="Y41" i="52"/>
  <c r="X41" i="52"/>
  <c r="W41" i="52"/>
  <c r="V41" i="52"/>
  <c r="U41" i="52"/>
  <c r="T41" i="52"/>
  <c r="S41" i="52"/>
  <c r="R41" i="52"/>
  <c r="Q41" i="52"/>
  <c r="P41" i="52"/>
  <c r="N41" i="52"/>
  <c r="M41" i="52"/>
  <c r="L41" i="52"/>
  <c r="K41" i="52"/>
  <c r="J41" i="52"/>
  <c r="I41" i="52"/>
  <c r="H41" i="52"/>
  <c r="G41" i="52"/>
  <c r="F41" i="52"/>
  <c r="E41" i="52"/>
  <c r="E40" i="52" s="1"/>
  <c r="EA23" i="52"/>
  <c r="EA25" i="52" s="1"/>
  <c r="DZ23" i="52"/>
  <c r="DY23" i="52"/>
  <c r="DY25" i="52" s="1"/>
  <c r="DY24" i="52" s="1"/>
  <c r="DX23" i="52"/>
  <c r="DX25" i="52" s="1"/>
  <c r="DX24" i="52" s="1"/>
  <c r="DW23" i="52"/>
  <c r="DW25" i="52" s="1"/>
  <c r="DW24" i="52" s="1"/>
  <c r="DV23" i="52"/>
  <c r="DV25" i="52" s="1"/>
  <c r="DV24" i="52" s="1"/>
  <c r="DU23" i="52"/>
  <c r="DU25" i="52" s="1"/>
  <c r="DU24" i="52" s="1"/>
  <c r="DT23" i="52"/>
  <c r="DT25" i="52" s="1"/>
  <c r="DT24" i="52" s="1"/>
  <c r="DS23" i="52"/>
  <c r="DS25" i="52" s="1"/>
  <c r="DS24" i="52" s="1"/>
  <c r="DR23" i="52"/>
  <c r="DQ23" i="52"/>
  <c r="DQ25" i="52" s="1"/>
  <c r="DQ24" i="52" s="1"/>
  <c r="DP23" i="52"/>
  <c r="DN23" i="52"/>
  <c r="DN25" i="52" s="1"/>
  <c r="DM23" i="52"/>
  <c r="DL23" i="52"/>
  <c r="DK23" i="52"/>
  <c r="DK25" i="52" s="1"/>
  <c r="DK24" i="52" s="1"/>
  <c r="DJ23" i="52"/>
  <c r="DJ25" i="52" s="1"/>
  <c r="DJ24" i="52" s="1"/>
  <c r="DI23" i="52"/>
  <c r="DI25" i="52" s="1"/>
  <c r="DI24" i="52" s="1"/>
  <c r="DH23" i="52"/>
  <c r="DH25" i="52" s="1"/>
  <c r="DH24" i="52" s="1"/>
  <c r="DG23" i="52"/>
  <c r="DG25" i="52" s="1"/>
  <c r="DG24" i="52" s="1"/>
  <c r="DF23" i="52"/>
  <c r="DF25" i="52" s="1"/>
  <c r="DF24" i="52" s="1"/>
  <c r="DE23" i="52"/>
  <c r="DD23" i="52"/>
  <c r="DD25" i="52" s="1"/>
  <c r="DD24" i="52" s="1"/>
  <c r="DC23" i="52"/>
  <c r="DA23" i="52"/>
  <c r="DA25" i="52" s="1"/>
  <c r="CZ23" i="52"/>
  <c r="CY23" i="52"/>
  <c r="CY25" i="52" s="1"/>
  <c r="CY24" i="52" s="1"/>
  <c r="CX23" i="52"/>
  <c r="CX25" i="52" s="1"/>
  <c r="CX24" i="52" s="1"/>
  <c r="CW23" i="52"/>
  <c r="CW25" i="52" s="1"/>
  <c r="CW24" i="52" s="1"/>
  <c r="CV23" i="52"/>
  <c r="CV25" i="52" s="1"/>
  <c r="CV24" i="52" s="1"/>
  <c r="CU23" i="52"/>
  <c r="CU25" i="52" s="1"/>
  <c r="CU24" i="52" s="1"/>
  <c r="CT23" i="52"/>
  <c r="CT25" i="52" s="1"/>
  <c r="CT24" i="52" s="1"/>
  <c r="CS23" i="52"/>
  <c r="CR23" i="52"/>
  <c r="CQ23" i="52"/>
  <c r="CP23" i="52"/>
  <c r="CN23" i="52"/>
  <c r="CN25" i="52" s="1"/>
  <c r="CM23" i="52"/>
  <c r="CL23" i="52"/>
  <c r="CL25" i="52" s="1"/>
  <c r="CL24" i="52" s="1"/>
  <c r="CK23" i="52"/>
  <c r="CK25" i="52" s="1"/>
  <c r="CK24" i="52" s="1"/>
  <c r="CJ23" i="52"/>
  <c r="CJ25" i="52" s="1"/>
  <c r="CJ24" i="52" s="1"/>
  <c r="CI23" i="52"/>
  <c r="CI25" i="52" s="1"/>
  <c r="CI24" i="52" s="1"/>
  <c r="CH23" i="52"/>
  <c r="CH25" i="52" s="1"/>
  <c r="CH24" i="52" s="1"/>
  <c r="CG23" i="52"/>
  <c r="CG25" i="52" s="1"/>
  <c r="CG24" i="52" s="1"/>
  <c r="CF23" i="52"/>
  <c r="CF25" i="52" s="1"/>
  <c r="CF24" i="52" s="1"/>
  <c r="CE23" i="52"/>
  <c r="CE25" i="52" s="1"/>
  <c r="CE24" i="52" s="1"/>
  <c r="CD23" i="52"/>
  <c r="CD25" i="52" s="1"/>
  <c r="CD24" i="52" s="1"/>
  <c r="CC23" i="52"/>
  <c r="CA23" i="52"/>
  <c r="CA25" i="52" s="1"/>
  <c r="BZ23" i="52"/>
  <c r="BY23" i="52"/>
  <c r="BX23" i="52"/>
  <c r="BX25" i="52" s="1"/>
  <c r="BX24" i="52" s="1"/>
  <c r="BW23" i="52"/>
  <c r="BW25" i="52" s="1"/>
  <c r="BW24" i="52" s="1"/>
  <c r="BV23" i="52"/>
  <c r="BU23" i="52"/>
  <c r="BU25" i="52" s="1"/>
  <c r="BU24" i="52" s="1"/>
  <c r="BT23" i="52"/>
  <c r="BT25" i="52" s="1"/>
  <c r="BT24" i="52" s="1"/>
  <c r="BS23" i="52"/>
  <c r="BS25" i="52" s="1"/>
  <c r="BS24" i="52" s="1"/>
  <c r="BR23" i="52"/>
  <c r="BQ23" i="52"/>
  <c r="BP23" i="52"/>
  <c r="BN23" i="52"/>
  <c r="BN25" i="52" s="1"/>
  <c r="BM23" i="52"/>
  <c r="BL23" i="52"/>
  <c r="BL25" i="52" s="1"/>
  <c r="BL24" i="52" s="1"/>
  <c r="BK23" i="52"/>
  <c r="BK25" i="52" s="1"/>
  <c r="BK24" i="52" s="1"/>
  <c r="BJ23" i="52"/>
  <c r="BJ25" i="52" s="1"/>
  <c r="BJ24" i="52" s="1"/>
  <c r="BI23" i="52"/>
  <c r="BH23" i="52"/>
  <c r="BH25" i="52" s="1"/>
  <c r="BH24" i="52" s="1"/>
  <c r="BG23" i="52"/>
  <c r="BG25" i="52" s="1"/>
  <c r="BG24" i="52" s="1"/>
  <c r="BF23" i="52"/>
  <c r="BE23" i="52"/>
  <c r="BD23" i="52"/>
  <c r="BD25" i="52" s="1"/>
  <c r="BD24" i="52" s="1"/>
  <c r="BC23" i="52"/>
  <c r="BA23" i="52"/>
  <c r="AZ23" i="52"/>
  <c r="AY23" i="52"/>
  <c r="AY25" i="52" s="1"/>
  <c r="AY24" i="52" s="1"/>
  <c r="AX23" i="52"/>
  <c r="AX25" i="52" s="1"/>
  <c r="AX24" i="52" s="1"/>
  <c r="AW23" i="52"/>
  <c r="AW25" i="52" s="1"/>
  <c r="AW24" i="52" s="1"/>
  <c r="AV23" i="52"/>
  <c r="AV25" i="52" s="1"/>
  <c r="AV24" i="52" s="1"/>
  <c r="AU23" i="52"/>
  <c r="AU25" i="52" s="1"/>
  <c r="AU24" i="52" s="1"/>
  <c r="AT23" i="52"/>
  <c r="AT25" i="52" s="1"/>
  <c r="AT24" i="52" s="1"/>
  <c r="AS23" i="52"/>
  <c r="AS25" i="52" s="1"/>
  <c r="AS24" i="52" s="1"/>
  <c r="AR23" i="52"/>
  <c r="AR25" i="52" s="1"/>
  <c r="AR24" i="52" s="1"/>
  <c r="AQ23" i="52"/>
  <c r="AQ25" i="52" s="1"/>
  <c r="AQ24" i="52" s="1"/>
  <c r="AP23" i="52"/>
  <c r="AN23" i="52"/>
  <c r="AM23" i="52"/>
  <c r="AL23" i="52"/>
  <c r="AK23" i="52"/>
  <c r="AK25" i="52" s="1"/>
  <c r="AK24" i="52" s="1"/>
  <c r="AJ23" i="52"/>
  <c r="AJ25" i="52" s="1"/>
  <c r="AJ24" i="52" s="1"/>
  <c r="AI23" i="52"/>
  <c r="AI25" i="52" s="1"/>
  <c r="AI24" i="52" s="1"/>
  <c r="AH23" i="52"/>
  <c r="AH25" i="52" s="1"/>
  <c r="AH24" i="52" s="1"/>
  <c r="AG23" i="52"/>
  <c r="AG25" i="52" s="1"/>
  <c r="AG24" i="52" s="1"/>
  <c r="AF23" i="52"/>
  <c r="AF25" i="52" s="1"/>
  <c r="AF24" i="52" s="1"/>
  <c r="AE25" i="52"/>
  <c r="AE24" i="52" s="1"/>
  <c r="AD23" i="52"/>
  <c r="AD25" i="52" s="1"/>
  <c r="AD24" i="52" s="1"/>
  <c r="AC23" i="52"/>
  <c r="AA23" i="52"/>
  <c r="AA25" i="52" s="1"/>
  <c r="Z23" i="52"/>
  <c r="Y23" i="52"/>
  <c r="Y25" i="52" s="1"/>
  <c r="Y24" i="52" s="1"/>
  <c r="X23" i="52"/>
  <c r="X25" i="52" s="1"/>
  <c r="X24" i="52" s="1"/>
  <c r="W23" i="52"/>
  <c r="W25" i="52" s="1"/>
  <c r="W24" i="52" s="1"/>
  <c r="V23" i="52"/>
  <c r="V25" i="52" s="1"/>
  <c r="V24" i="52" s="1"/>
  <c r="U23" i="52"/>
  <c r="U25" i="52" s="1"/>
  <c r="U24" i="52" s="1"/>
  <c r="T23" i="52"/>
  <c r="T25" i="52" s="1"/>
  <c r="T24" i="52" s="1"/>
  <c r="S23" i="52"/>
  <c r="S25" i="52" s="1"/>
  <c r="S24" i="52" s="1"/>
  <c r="Q23" i="52"/>
  <c r="P23" i="52"/>
  <c r="N23" i="52"/>
  <c r="N25" i="52" s="1"/>
  <c r="M23" i="52"/>
  <c r="L25" i="52"/>
  <c r="L24" i="52" s="1"/>
  <c r="K25" i="52"/>
  <c r="K24" i="52" s="1"/>
  <c r="J25" i="52"/>
  <c r="J24" i="52" s="1"/>
  <c r="I24" i="52"/>
  <c r="H24" i="52"/>
  <c r="D2" i="52"/>
  <c r="BO41" i="52" l="1"/>
  <c r="CB41" i="52"/>
  <c r="CO41" i="52"/>
  <c r="DB41" i="52"/>
  <c r="DO41" i="52"/>
  <c r="EB41" i="52"/>
  <c r="BB41" i="52"/>
  <c r="O41" i="52"/>
  <c r="AB41" i="52"/>
  <c r="AO41" i="52"/>
  <c r="G52" i="52"/>
  <c r="D61" i="52"/>
  <c r="D40" i="52"/>
  <c r="D29" i="52" s="1"/>
  <c r="D53" i="52" s="1"/>
  <c r="D59" i="52" s="1"/>
  <c r="P7" i="52"/>
  <c r="P5" i="52" s="1"/>
  <c r="R15" i="52" s="1"/>
  <c r="D65" i="52"/>
  <c r="O5" i="52"/>
  <c r="E2" i="52"/>
  <c r="H52" i="52" s="1"/>
  <c r="H57" i="52" s="1"/>
  <c r="H55" i="52" s="1"/>
  <c r="O58" i="52"/>
  <c r="O23" i="52"/>
  <c r="BC25" i="52"/>
  <c r="BO23" i="52"/>
  <c r="CP25" i="52"/>
  <c r="DB23" i="52"/>
  <c r="DC25" i="52"/>
  <c r="DO23" i="52"/>
  <c r="BB23" i="52"/>
  <c r="CC25" i="52"/>
  <c r="CO23" i="52"/>
  <c r="AC25" i="52"/>
  <c r="AO23" i="52"/>
  <c r="BP25" i="52"/>
  <c r="CB23" i="52"/>
  <c r="EB23" i="52"/>
  <c r="AO58" i="52"/>
  <c r="BB58" i="52"/>
  <c r="BO58" i="52"/>
  <c r="AB58" i="52"/>
  <c r="AB23" i="52"/>
  <c r="G24" i="52"/>
  <c r="G28" i="52" s="1"/>
  <c r="M25" i="52"/>
  <c r="M24" i="52" s="1"/>
  <c r="CZ25" i="52"/>
  <c r="CZ24" i="52" s="1"/>
  <c r="O27" i="52"/>
  <c r="DM25" i="52"/>
  <c r="DM24" i="52" s="1"/>
  <c r="BZ25" i="52"/>
  <c r="BZ24" i="52" s="1"/>
  <c r="Z25" i="52"/>
  <c r="Z24" i="52" s="1"/>
  <c r="AM25" i="52"/>
  <c r="AM24" i="52" s="1"/>
  <c r="AZ25" i="52"/>
  <c r="AZ24" i="52" s="1"/>
  <c r="BM25" i="52"/>
  <c r="BM24" i="52" s="1"/>
  <c r="CM25" i="52"/>
  <c r="CM24" i="52" s="1"/>
  <c r="DZ25" i="52"/>
  <c r="DZ24" i="52" s="1"/>
  <c r="AN25" i="52"/>
  <c r="BA25" i="52"/>
  <c r="DP25" i="52"/>
  <c r="BQ25" i="52"/>
  <c r="BQ24" i="52" s="1"/>
  <c r="CQ25" i="52"/>
  <c r="CQ24" i="52" s="1"/>
  <c r="AP25" i="52"/>
  <c r="CS25" i="52"/>
  <c r="CS24" i="52" s="1"/>
  <c r="P25" i="52"/>
  <c r="P24" i="52" s="1"/>
  <c r="BF25" i="52"/>
  <c r="BF24" i="52" s="1"/>
  <c r="Q25" i="52"/>
  <c r="Q24" i="52" s="1"/>
  <c r="BI25" i="52"/>
  <c r="BI24" i="52" s="1"/>
  <c r="BV25" i="52"/>
  <c r="BV24" i="52" s="1"/>
  <c r="AL25" i="52"/>
  <c r="AL24" i="52" s="1"/>
  <c r="BY25" i="52"/>
  <c r="BY24" i="52" s="1"/>
  <c r="DL25" i="52"/>
  <c r="DL24" i="52" s="1"/>
  <c r="R25" i="52"/>
  <c r="R24" i="52" s="1"/>
  <c r="BE25" i="52"/>
  <c r="BE24" i="52" s="1"/>
  <c r="CR25" i="52"/>
  <c r="CR24" i="52" s="1"/>
  <c r="DE25" i="52"/>
  <c r="DE24" i="52" s="1"/>
  <c r="DR25" i="52"/>
  <c r="DR24" i="52" s="1"/>
  <c r="BR25" i="52"/>
  <c r="BR24" i="52" s="1"/>
  <c r="G57" i="52" l="1"/>
  <c r="G55" i="52" s="1"/>
  <c r="C69" i="52"/>
  <c r="F18" i="61"/>
  <c r="F18" i="71"/>
  <c r="T18" i="61"/>
  <c r="T18" i="71"/>
  <c r="H18" i="61"/>
  <c r="H18" i="71"/>
  <c r="J18" i="61"/>
  <c r="J18" i="71"/>
  <c r="R18" i="61"/>
  <c r="R18" i="71"/>
  <c r="B18" i="61"/>
  <c r="B18" i="71"/>
  <c r="P18" i="61"/>
  <c r="P18" i="71"/>
  <c r="D18" i="61"/>
  <c r="D18" i="71"/>
  <c r="N18" i="61"/>
  <c r="N18" i="71"/>
  <c r="L18" i="61"/>
  <c r="L18" i="71"/>
  <c r="D68" i="52"/>
  <c r="D62" i="52"/>
  <c r="D64" i="52" s="1"/>
  <c r="D66" i="52" s="1"/>
  <c r="Q7" i="52"/>
  <c r="Q5" i="52" s="1"/>
  <c r="S15" i="52" s="1"/>
  <c r="E65" i="52"/>
  <c r="E61" i="52"/>
  <c r="F2" i="52"/>
  <c r="I52" i="52" s="1"/>
  <c r="I57" i="52" s="1"/>
  <c r="I55" i="52" s="1"/>
  <c r="O25" i="52"/>
  <c r="O19" i="52"/>
  <c r="BC24" i="52"/>
  <c r="BO25" i="52"/>
  <c r="CC24" i="52"/>
  <c r="CO25" i="52"/>
  <c r="BP24" i="52"/>
  <c r="CB25" i="52"/>
  <c r="AC24" i="52"/>
  <c r="AO25" i="52"/>
  <c r="AP24" i="52"/>
  <c r="BB25" i="52"/>
  <c r="DC24" i="52"/>
  <c r="DO25" i="52"/>
  <c r="DP24" i="52"/>
  <c r="EB25" i="52"/>
  <c r="CP24" i="52"/>
  <c r="DB25" i="52"/>
  <c r="AB25" i="52"/>
  <c r="N24" i="52"/>
  <c r="O24" i="52" s="1"/>
  <c r="V18" i="71" l="1"/>
  <c r="V18" i="61"/>
  <c r="B11" i="61"/>
  <c r="B11" i="71"/>
  <c r="D69" i="52"/>
  <c r="R7" i="52"/>
  <c r="R5" i="52" s="1"/>
  <c r="T15" i="52" s="1"/>
  <c r="F65" i="52"/>
  <c r="F61" i="52"/>
  <c r="G2" i="52"/>
  <c r="J52" i="52" s="1"/>
  <c r="F40" i="52"/>
  <c r="J57" i="52" l="1"/>
  <c r="J55" i="52" s="1"/>
  <c r="S7" i="52"/>
  <c r="S5" i="52" s="1"/>
  <c r="U15" i="52" s="1"/>
  <c r="G65" i="52"/>
  <c r="G61" i="52"/>
  <c r="H2" i="52"/>
  <c r="K52" i="52" s="1"/>
  <c r="K57" i="52" s="1"/>
  <c r="K55" i="52" s="1"/>
  <c r="O14" i="52"/>
  <c r="G51" i="52"/>
  <c r="G40" i="52" s="1"/>
  <c r="G29" i="52" l="1"/>
  <c r="G53" i="52" s="1"/>
  <c r="T7" i="52"/>
  <c r="T5" i="52" s="1"/>
  <c r="V15" i="52" s="1"/>
  <c r="H65" i="52"/>
  <c r="H61" i="52"/>
  <c r="I2" i="52"/>
  <c r="L52" i="52" s="1"/>
  <c r="L57" i="52" s="1"/>
  <c r="L55" i="52" s="1"/>
  <c r="U7" i="52" l="1"/>
  <c r="U5" i="52" s="1"/>
  <c r="W15" i="52" s="1"/>
  <c r="I65" i="52"/>
  <c r="I61" i="52"/>
  <c r="J2" i="52"/>
  <c r="M52" i="52" s="1"/>
  <c r="M57" i="52" s="1"/>
  <c r="M55" i="52" s="1"/>
  <c r="EB55" i="52"/>
  <c r="DB55" i="52"/>
  <c r="CB56" i="52"/>
  <c r="CO55" i="52"/>
  <c r="DO55" i="52"/>
  <c r="AB20" i="52"/>
  <c r="AB19" i="52"/>
  <c r="DO56" i="52"/>
  <c r="AB56" i="52"/>
  <c r="BO56" i="52"/>
  <c r="DB56" i="52"/>
  <c r="O56" i="52"/>
  <c r="AO56" i="52"/>
  <c r="BB56" i="52"/>
  <c r="CO56" i="52"/>
  <c r="EB56" i="52"/>
  <c r="R31" i="61" l="1"/>
  <c r="R31" i="71"/>
  <c r="N31" i="61"/>
  <c r="N31" i="71"/>
  <c r="P31" i="61"/>
  <c r="P31" i="71"/>
  <c r="T31" i="61"/>
  <c r="T31" i="71"/>
  <c r="V7" i="52"/>
  <c r="V5" i="52" s="1"/>
  <c r="X15" i="52" s="1"/>
  <c r="J65" i="52"/>
  <c r="J61" i="52"/>
  <c r="K2" i="52"/>
  <c r="N52" i="52" s="1"/>
  <c r="O52" i="52" s="1"/>
  <c r="O15" i="52"/>
  <c r="N57" i="52" l="1"/>
  <c r="W7" i="52"/>
  <c r="W5" i="52" s="1"/>
  <c r="Y15" i="52" s="1"/>
  <c r="L2" i="52"/>
  <c r="K65" i="52"/>
  <c r="K61" i="52"/>
  <c r="M2" i="52"/>
  <c r="P52" i="52" s="1"/>
  <c r="P57" i="52" l="1"/>
  <c r="P55" i="52" s="1"/>
  <c r="B27" i="61"/>
  <c r="B27" i="71"/>
  <c r="N55" i="52"/>
  <c r="O55" i="52" s="1"/>
  <c r="O57" i="52"/>
  <c r="X7" i="52"/>
  <c r="X5" i="52" s="1"/>
  <c r="Z15" i="52" s="1"/>
  <c r="N2" i="52"/>
  <c r="Q52" i="52" s="1"/>
  <c r="Q57" i="52" s="1"/>
  <c r="Q55" i="52" s="1"/>
  <c r="M65" i="52"/>
  <c r="M61" i="52"/>
  <c r="L65" i="52"/>
  <c r="L61" i="52"/>
  <c r="AB14" i="52"/>
  <c r="AA27" i="52"/>
  <c r="P2" i="52" l="1"/>
  <c r="R52" i="52" s="1"/>
  <c r="R57" i="52" s="1"/>
  <c r="R55" i="52" s="1"/>
  <c r="B31" i="61"/>
  <c r="B31" i="71"/>
  <c r="Y7" i="52"/>
  <c r="Y5" i="52" s="1"/>
  <c r="AA15" i="52" s="1"/>
  <c r="N61" i="52"/>
  <c r="O61" i="52" s="1"/>
  <c r="N65" i="52"/>
  <c r="O65" i="52" s="1"/>
  <c r="AA24" i="52"/>
  <c r="AB24" i="52" s="1"/>
  <c r="AB27" i="52"/>
  <c r="P65" i="52" l="1"/>
  <c r="P61" i="52"/>
  <c r="Q2" i="52"/>
  <c r="T52" i="52" s="1"/>
  <c r="T57" i="52" s="1"/>
  <c r="T55" i="52" s="1"/>
  <c r="S52" i="52"/>
  <c r="S57" i="52" s="1"/>
  <c r="S55" i="52" s="1"/>
  <c r="D11" i="61"/>
  <c r="D11" i="71"/>
  <c r="AB15" i="52"/>
  <c r="Z7" i="52"/>
  <c r="Z5" i="52" s="1"/>
  <c r="AC15" i="52" s="1"/>
  <c r="R2" i="52"/>
  <c r="U52" i="52" s="1"/>
  <c r="U57" i="52" s="1"/>
  <c r="U55" i="52" s="1"/>
  <c r="Q61" i="52"/>
  <c r="Q65" i="52"/>
  <c r="AO19" i="52"/>
  <c r="AA7" i="52" l="1"/>
  <c r="AB7" i="52" s="1"/>
  <c r="S2" i="52"/>
  <c r="V52" i="52" s="1"/>
  <c r="V57" i="52" s="1"/>
  <c r="V55" i="52" s="1"/>
  <c r="R61" i="52"/>
  <c r="R65" i="52"/>
  <c r="AA5" i="52" l="1"/>
  <c r="AD15" i="52" s="1"/>
  <c r="T2" i="52"/>
  <c r="W52" i="52" s="1"/>
  <c r="W57" i="52" s="1"/>
  <c r="W55" i="52" s="1"/>
  <c r="S61" i="52"/>
  <c r="S65" i="52"/>
  <c r="AF17" i="52"/>
  <c r="AC7" i="52" l="1"/>
  <c r="AC5" i="52" s="1"/>
  <c r="AE15" i="52" s="1"/>
  <c r="AB5" i="52"/>
  <c r="U2" i="52"/>
  <c r="X52" i="52" s="1"/>
  <c r="X57" i="52" s="1"/>
  <c r="X55" i="52" s="1"/>
  <c r="T61" i="52"/>
  <c r="T65" i="52"/>
  <c r="AG17" i="52"/>
  <c r="AD7" i="52" l="1"/>
  <c r="AD5" i="52" s="1"/>
  <c r="AF15" i="52" s="1"/>
  <c r="V2" i="52"/>
  <c r="Y52" i="52" s="1"/>
  <c r="Y57" i="52" s="1"/>
  <c r="Y55" i="52" s="1"/>
  <c r="U61" i="52"/>
  <c r="U65" i="52"/>
  <c r="AH17" i="52"/>
  <c r="W2" i="52" l="1"/>
  <c r="Z52" i="52" s="1"/>
  <c r="Z57" i="52" s="1"/>
  <c r="Z55" i="52" s="1"/>
  <c r="V65" i="52"/>
  <c r="V61" i="52"/>
  <c r="AE7" i="52"/>
  <c r="AE5" i="52" s="1"/>
  <c r="AG15" i="52" s="1"/>
  <c r="AI17" i="52"/>
  <c r="X2" i="52" l="1"/>
  <c r="AA52" i="52" s="1"/>
  <c r="AB52" i="52" s="1"/>
  <c r="W61" i="52"/>
  <c r="W65" i="52"/>
  <c r="AF7" i="52"/>
  <c r="AF5" i="52" s="1"/>
  <c r="AH15" i="52" s="1"/>
  <c r="AJ17" i="52"/>
  <c r="AA57" i="52" l="1"/>
  <c r="Y2" i="52"/>
  <c r="X61" i="52"/>
  <c r="X65" i="52"/>
  <c r="AG7" i="52"/>
  <c r="AG5" i="52" s="1"/>
  <c r="AI15" i="52" s="1"/>
  <c r="AK17" i="52"/>
  <c r="D27" i="71" l="1"/>
  <c r="D27" i="61"/>
  <c r="AA55" i="52"/>
  <c r="AB55" i="52" s="1"/>
  <c r="AB57" i="52"/>
  <c r="Z2" i="52"/>
  <c r="AC52" i="52" s="1"/>
  <c r="Y61" i="52"/>
  <c r="Y65" i="52"/>
  <c r="AH7" i="52"/>
  <c r="AH5" i="52" s="1"/>
  <c r="AJ15" i="52" s="1"/>
  <c r="AL17" i="52"/>
  <c r="AC57" i="52" l="1"/>
  <c r="D31" i="61"/>
  <c r="D31" i="71"/>
  <c r="AC55" i="52"/>
  <c r="AA2" i="52"/>
  <c r="AD52" i="52" s="1"/>
  <c r="AD57" i="52" s="1"/>
  <c r="AD55" i="52" s="1"/>
  <c r="Z65" i="52"/>
  <c r="Z61" i="52"/>
  <c r="AI7" i="52"/>
  <c r="AI5" i="52" s="1"/>
  <c r="AK15" i="52" s="1"/>
  <c r="AO20" i="52"/>
  <c r="AM17" i="52"/>
  <c r="AC2" i="52" l="1"/>
  <c r="AA61" i="52"/>
  <c r="AB61" i="52" s="1"/>
  <c r="AA65" i="52"/>
  <c r="AB65" i="52" s="1"/>
  <c r="AJ7" i="52"/>
  <c r="AJ5" i="52" s="1"/>
  <c r="AL15" i="52" s="1"/>
  <c r="AN17" i="52"/>
  <c r="AO17" i="52" s="1"/>
  <c r="AF52" i="52" l="1"/>
  <c r="AF57" i="52" s="1"/>
  <c r="AF55" i="52" s="1"/>
  <c r="AE52" i="52"/>
  <c r="AD2" i="52"/>
  <c r="AG52" i="52" s="1"/>
  <c r="AG57" i="52" s="1"/>
  <c r="AG55" i="52" s="1"/>
  <c r="AC61" i="52"/>
  <c r="AC65" i="52"/>
  <c r="AK7" i="52"/>
  <c r="AK5" i="52" s="1"/>
  <c r="AM15" i="52" s="1"/>
  <c r="AP17" i="52"/>
  <c r="AO14" i="52"/>
  <c r="AN27" i="52"/>
  <c r="AE57" i="52" l="1"/>
  <c r="AE55" i="52" s="1"/>
  <c r="AE2" i="52"/>
  <c r="AH52" i="52" s="1"/>
  <c r="AH57" i="52" s="1"/>
  <c r="AH55" i="52" s="1"/>
  <c r="AD61" i="52"/>
  <c r="AD65" i="52"/>
  <c r="AL7" i="52"/>
  <c r="AL5" i="52" s="1"/>
  <c r="AN15" i="52" s="1"/>
  <c r="AO27" i="52"/>
  <c r="AN24" i="52"/>
  <c r="AO24" i="52" s="1"/>
  <c r="AQ17" i="52"/>
  <c r="F11" i="61" l="1"/>
  <c r="F11" i="71"/>
  <c r="AF2" i="52"/>
  <c r="AI52" i="52" s="1"/>
  <c r="AI57" i="52" s="1"/>
  <c r="AI55" i="52" s="1"/>
  <c r="AE61" i="52"/>
  <c r="AE65" i="52"/>
  <c r="AM7" i="52"/>
  <c r="AM5" i="52" s="1"/>
  <c r="AP15" i="52" s="1"/>
  <c r="AG2" i="52" l="1"/>
  <c r="AJ52" i="52" s="1"/>
  <c r="AJ57" i="52" s="1"/>
  <c r="AJ55" i="52" s="1"/>
  <c r="AF65" i="52"/>
  <c r="AF61" i="52"/>
  <c r="AN7" i="52"/>
  <c r="AO7" i="52" s="1"/>
  <c r="AR17" i="52"/>
  <c r="AH2" i="52" l="1"/>
  <c r="AK52" i="52" s="1"/>
  <c r="AK57" i="52" s="1"/>
  <c r="AK55" i="52" s="1"/>
  <c r="AG65" i="52"/>
  <c r="AG61" i="52"/>
  <c r="AN5" i="52"/>
  <c r="AS17" i="52"/>
  <c r="AI2" i="52" l="1"/>
  <c r="AL52" i="52" s="1"/>
  <c r="AL57" i="52" s="1"/>
  <c r="AL55" i="52" s="1"/>
  <c r="AH65" i="52"/>
  <c r="AH61" i="52"/>
  <c r="AP7" i="52"/>
  <c r="AP5" i="52" s="1"/>
  <c r="AR15" i="52" s="1"/>
  <c r="AQ15" i="52"/>
  <c r="AO5" i="52"/>
  <c r="AT17" i="52"/>
  <c r="AJ2" i="52" l="1"/>
  <c r="AM52" i="52" s="1"/>
  <c r="AM57" i="52" s="1"/>
  <c r="AM55" i="52" s="1"/>
  <c r="AI65" i="52"/>
  <c r="AI61" i="52"/>
  <c r="AQ7" i="52"/>
  <c r="AQ5" i="52" s="1"/>
  <c r="AS15" i="52" s="1"/>
  <c r="AU17" i="52"/>
  <c r="AR7" i="52" l="1"/>
  <c r="AR5" i="52" s="1"/>
  <c r="AT15" i="52" s="1"/>
  <c r="AK2" i="52"/>
  <c r="AN52" i="52" s="1"/>
  <c r="AO52" i="52" s="1"/>
  <c r="AJ65" i="52"/>
  <c r="AJ61" i="52"/>
  <c r="AV17" i="52"/>
  <c r="AN57" i="52" l="1"/>
  <c r="AL2" i="52"/>
  <c r="AK65" i="52"/>
  <c r="AK61" i="52"/>
  <c r="AS7" i="52"/>
  <c r="AW17" i="52"/>
  <c r="F27" i="61" l="1"/>
  <c r="F27" i="71"/>
  <c r="AN55" i="52"/>
  <c r="AO55" i="52" s="1"/>
  <c r="AO57" i="52"/>
  <c r="AM2" i="52"/>
  <c r="AP52" i="52" s="1"/>
  <c r="AL65" i="52"/>
  <c r="AL61" i="52"/>
  <c r="AS5" i="52"/>
  <c r="AU15" i="52" s="1"/>
  <c r="AX17" i="52"/>
  <c r="AP57" i="52" l="1"/>
  <c r="AP55" i="52" s="1"/>
  <c r="F31" i="61"/>
  <c r="F31" i="71"/>
  <c r="AN2" i="52"/>
  <c r="AQ52" i="52" s="1"/>
  <c r="AQ57" i="52" s="1"/>
  <c r="AQ55" i="52" s="1"/>
  <c r="AM65" i="52"/>
  <c r="AM61" i="52"/>
  <c r="AT7" i="52"/>
  <c r="AT5" i="52" s="1"/>
  <c r="AV15" i="52" s="1"/>
  <c r="AY17" i="52"/>
  <c r="AP2" i="52" l="1"/>
  <c r="AN61" i="52"/>
  <c r="AO61" i="52" s="1"/>
  <c r="AN65" i="52"/>
  <c r="AO65" i="52" s="1"/>
  <c r="AU7" i="52"/>
  <c r="AU5" i="52" s="1"/>
  <c r="AW15" i="52" s="1"/>
  <c r="BB20" i="52"/>
  <c r="AZ17" i="52"/>
  <c r="AS52" i="52" l="1"/>
  <c r="AS57" i="52" s="1"/>
  <c r="AS55" i="52" s="1"/>
  <c r="AR52" i="52"/>
  <c r="AQ2" i="52"/>
  <c r="AT52" i="52" s="1"/>
  <c r="AT57" i="52" s="1"/>
  <c r="AT55" i="52" s="1"/>
  <c r="AP61" i="52"/>
  <c r="AP65" i="52"/>
  <c r="AV7" i="52"/>
  <c r="AV5" i="52" s="1"/>
  <c r="AX15" i="52" s="1"/>
  <c r="BA17" i="52"/>
  <c r="BB17" i="52" s="1"/>
  <c r="AR57" i="52" l="1"/>
  <c r="AR55" i="52" s="1"/>
  <c r="AR2" i="52"/>
  <c r="AU52" i="52" s="1"/>
  <c r="AU57" i="52" s="1"/>
  <c r="AU55" i="52" s="1"/>
  <c r="AQ61" i="52"/>
  <c r="AQ65" i="52"/>
  <c r="AW7" i="52"/>
  <c r="AW5" i="52" s="1"/>
  <c r="AY15" i="52" s="1"/>
  <c r="AS2" i="52" l="1"/>
  <c r="AV52" i="52" s="1"/>
  <c r="AV57" i="52" s="1"/>
  <c r="AV55" i="52" s="1"/>
  <c r="AR61" i="52"/>
  <c r="AR65" i="52"/>
  <c r="AX7" i="52"/>
  <c r="AX5" i="52" s="1"/>
  <c r="AZ15" i="52" s="1"/>
  <c r="BC17" i="52"/>
  <c r="BB14" i="52"/>
  <c r="BA27" i="52"/>
  <c r="AO15" i="52"/>
  <c r="AT2" i="52" l="1"/>
  <c r="AW52" i="52" s="1"/>
  <c r="AW57" i="52" s="1"/>
  <c r="AW55" i="52" s="1"/>
  <c r="AS65" i="52"/>
  <c r="AS61" i="52"/>
  <c r="AY7" i="52"/>
  <c r="AY5" i="52" s="1"/>
  <c r="BA15" i="52" s="1"/>
  <c r="BD17" i="52"/>
  <c r="BA24" i="52"/>
  <c r="BB24" i="52" s="1"/>
  <c r="H11" i="71" s="1"/>
  <c r="BB27" i="52"/>
  <c r="H11" i="61" l="1"/>
  <c r="AU2" i="52"/>
  <c r="AX52" i="52" s="1"/>
  <c r="AX57" i="52" s="1"/>
  <c r="AX55" i="52" s="1"/>
  <c r="AT65" i="52"/>
  <c r="AT61" i="52"/>
  <c r="AZ7" i="52"/>
  <c r="AZ5" i="52" s="1"/>
  <c r="BC15" i="52" s="1"/>
  <c r="AV2" i="52" l="1"/>
  <c r="AY52" i="52" s="1"/>
  <c r="AY57" i="52" s="1"/>
  <c r="AY55" i="52" s="1"/>
  <c r="AU65" i="52"/>
  <c r="AU61" i="52"/>
  <c r="BA7" i="52"/>
  <c r="BB7" i="52" s="1"/>
  <c r="BE17" i="52"/>
  <c r="AW2" i="52" l="1"/>
  <c r="AZ52" i="52" s="1"/>
  <c r="AZ57" i="52" s="1"/>
  <c r="AZ55" i="52" s="1"/>
  <c r="AV65" i="52"/>
  <c r="AV61" i="52"/>
  <c r="BA5" i="52"/>
  <c r="BD15" i="52" s="1"/>
  <c r="AX2" i="52" l="1"/>
  <c r="BA52" i="52" s="1"/>
  <c r="BB52" i="52" s="1"/>
  <c r="AW65" i="52"/>
  <c r="AW61" i="52"/>
  <c r="BC7" i="52"/>
  <c r="BB5" i="52"/>
  <c r="BF17" i="52"/>
  <c r="BA57" i="52" l="1"/>
  <c r="AY2" i="52"/>
  <c r="AX61" i="52"/>
  <c r="AX65" i="52"/>
  <c r="BC5" i="52"/>
  <c r="BE15" i="52" s="1"/>
  <c r="BG17" i="52"/>
  <c r="H27" i="61" l="1"/>
  <c r="H27" i="71"/>
  <c r="BA55" i="52"/>
  <c r="BB55" i="52" s="1"/>
  <c r="BB57" i="52"/>
  <c r="AZ2" i="52"/>
  <c r="BC52" i="52" s="1"/>
  <c r="AY65" i="52"/>
  <c r="AY61" i="52"/>
  <c r="BD7" i="52"/>
  <c r="BD5" i="52" s="1"/>
  <c r="BF15" i="52" s="1"/>
  <c r="BH17" i="52"/>
  <c r="BC57" i="52" l="1"/>
  <c r="BC55" i="52" s="1"/>
  <c r="H31" i="61"/>
  <c r="H31" i="71"/>
  <c r="BA2" i="52"/>
  <c r="BD52" i="52" s="1"/>
  <c r="BD57" i="52" s="1"/>
  <c r="BD55" i="52" s="1"/>
  <c r="AZ65" i="52"/>
  <c r="AZ61" i="52"/>
  <c r="BE7" i="52"/>
  <c r="BE5" i="52" s="1"/>
  <c r="BG15" i="52" s="1"/>
  <c r="BI17" i="52"/>
  <c r="BC2" i="52" l="1"/>
  <c r="BA61" i="52"/>
  <c r="BB61" i="52" s="1"/>
  <c r="BA65" i="52"/>
  <c r="BB65" i="52" s="1"/>
  <c r="BF7" i="52"/>
  <c r="BF5" i="52" s="1"/>
  <c r="BH15" i="52" s="1"/>
  <c r="BJ17" i="52"/>
  <c r="BF52" i="52" l="1"/>
  <c r="BF57" i="52" s="1"/>
  <c r="BF55" i="52" s="1"/>
  <c r="BE52" i="52"/>
  <c r="BD2" i="52"/>
  <c r="BG52" i="52" s="1"/>
  <c r="BG57" i="52" s="1"/>
  <c r="BG55" i="52" s="1"/>
  <c r="BC61" i="52"/>
  <c r="BC65" i="52"/>
  <c r="BG7" i="52"/>
  <c r="BG5" i="52" s="1"/>
  <c r="BI15" i="52" s="1"/>
  <c r="BK17" i="52"/>
  <c r="BE57" i="52" l="1"/>
  <c r="BE55" i="52" s="1"/>
  <c r="BE2" i="52"/>
  <c r="BH52" i="52" s="1"/>
  <c r="BH57" i="52" s="1"/>
  <c r="BH55" i="52" s="1"/>
  <c r="BD61" i="52"/>
  <c r="BD65" i="52"/>
  <c r="BH7" i="52"/>
  <c r="BH5" i="52" s="1"/>
  <c r="BJ15" i="52" s="1"/>
  <c r="BL17" i="52"/>
  <c r="BF2" i="52" l="1"/>
  <c r="BI52" i="52" s="1"/>
  <c r="BI57" i="52" s="1"/>
  <c r="BI55" i="52" s="1"/>
  <c r="BE61" i="52"/>
  <c r="BE65" i="52"/>
  <c r="BI7" i="52"/>
  <c r="BI5" i="52" s="1"/>
  <c r="BK15" i="52" s="1"/>
  <c r="BO20" i="52"/>
  <c r="BM17" i="52"/>
  <c r="BB15" i="52"/>
  <c r="BG2" i="52" l="1"/>
  <c r="BJ52" i="52" s="1"/>
  <c r="BF65" i="52"/>
  <c r="BF61" i="52"/>
  <c r="BJ7" i="52"/>
  <c r="BJ5" i="52" s="1"/>
  <c r="BL15" i="52" s="1"/>
  <c r="BN17" i="52"/>
  <c r="BO17" i="52" s="1"/>
  <c r="BJ57" i="52" l="1"/>
  <c r="BJ55" i="52" s="1"/>
  <c r="BH2" i="52"/>
  <c r="BK52" i="52" s="1"/>
  <c r="BK57" i="52" s="1"/>
  <c r="BK55" i="52" s="1"/>
  <c r="BG65" i="52"/>
  <c r="BG61" i="52"/>
  <c r="BK7" i="52"/>
  <c r="BK5" i="52" s="1"/>
  <c r="BM15" i="52" s="1"/>
  <c r="BO14" i="52"/>
  <c r="BP17" i="52"/>
  <c r="BN27" i="52"/>
  <c r="BI2" i="52" l="1"/>
  <c r="BL52" i="52" s="1"/>
  <c r="BL57" i="52" s="1"/>
  <c r="BL55" i="52" s="1"/>
  <c r="BH65" i="52"/>
  <c r="BH61" i="52"/>
  <c r="BL7" i="52"/>
  <c r="BL5" i="52" s="1"/>
  <c r="BN15" i="52" s="1"/>
  <c r="BN24" i="52"/>
  <c r="BO24" i="52" s="1"/>
  <c r="J11" i="71" s="1"/>
  <c r="BO27" i="52"/>
  <c r="BQ17" i="52"/>
  <c r="J11" i="61" l="1"/>
  <c r="BJ2" i="52"/>
  <c r="BM52" i="52" s="1"/>
  <c r="BM57" i="52" s="1"/>
  <c r="BM55" i="52" s="1"/>
  <c r="BI65" i="52"/>
  <c r="BI61" i="52"/>
  <c r="BM7" i="52"/>
  <c r="BM5" i="52" s="1"/>
  <c r="BP15" i="52" s="1"/>
  <c r="BR17" i="52"/>
  <c r="BK2" i="52" l="1"/>
  <c r="BN52" i="52" s="1"/>
  <c r="BO52" i="52" s="1"/>
  <c r="BJ65" i="52"/>
  <c r="BJ61" i="52"/>
  <c r="BN7" i="52"/>
  <c r="BO7" i="52" s="1"/>
  <c r="J27" i="71" l="1"/>
  <c r="BN57" i="52"/>
  <c r="BL2" i="52"/>
  <c r="BK61" i="52"/>
  <c r="BK65" i="52"/>
  <c r="BN5" i="52"/>
  <c r="BS17" i="52"/>
  <c r="J27" i="61" l="1"/>
  <c r="BN55" i="52"/>
  <c r="BO55" i="52" s="1"/>
  <c r="J31" i="71" s="1"/>
  <c r="BO57" i="52"/>
  <c r="BM2" i="52"/>
  <c r="BP52" i="52" s="1"/>
  <c r="BL61" i="52"/>
  <c r="BL65" i="52"/>
  <c r="BP7" i="52"/>
  <c r="BP5" i="52" s="1"/>
  <c r="BR15" i="52" s="1"/>
  <c r="BQ15" i="52"/>
  <c r="BO5" i="52"/>
  <c r="BT17" i="52"/>
  <c r="BP57" i="52" l="1"/>
  <c r="BP55" i="52" s="1"/>
  <c r="J31" i="61"/>
  <c r="BN2" i="52"/>
  <c r="BQ52" i="52" s="1"/>
  <c r="BQ57" i="52" s="1"/>
  <c r="BQ55" i="52" s="1"/>
  <c r="BM65" i="52"/>
  <c r="BM61" i="52"/>
  <c r="BQ7" i="52"/>
  <c r="BU17" i="52"/>
  <c r="DP52" i="52" l="1"/>
  <c r="DC52" i="52"/>
  <c r="CP52" i="52"/>
  <c r="CC52" i="52"/>
  <c r="EA52" i="52"/>
  <c r="DN52" i="52"/>
  <c r="DA52" i="52"/>
  <c r="CD52" i="52"/>
  <c r="BS52" i="52"/>
  <c r="DY52" i="52"/>
  <c r="CY52" i="52"/>
  <c r="CF52" i="52"/>
  <c r="DX52" i="52"/>
  <c r="CX52" i="52"/>
  <c r="CG52" i="52"/>
  <c r="DW52" i="52"/>
  <c r="CW52" i="52"/>
  <c r="CH52" i="52"/>
  <c r="DV52" i="52"/>
  <c r="CV52" i="52"/>
  <c r="CI52" i="52"/>
  <c r="DU52" i="52"/>
  <c r="DH52" i="52"/>
  <c r="CU52" i="52"/>
  <c r="CJ52" i="52"/>
  <c r="BY52" i="52"/>
  <c r="DT52" i="52"/>
  <c r="DG52" i="52"/>
  <c r="CT52" i="52"/>
  <c r="CK52" i="52"/>
  <c r="BZ52" i="52"/>
  <c r="DS52" i="52"/>
  <c r="DF52" i="52"/>
  <c r="CS52" i="52"/>
  <c r="CL52" i="52"/>
  <c r="CA52" i="52"/>
  <c r="DR52" i="52"/>
  <c r="DE52" i="52"/>
  <c r="CR52" i="52"/>
  <c r="CM52" i="52"/>
  <c r="BR52" i="52"/>
  <c r="BR55" i="52" s="1"/>
  <c r="CB55" i="52" s="1"/>
  <c r="L31" i="71" s="1"/>
  <c r="V31" i="71" s="1"/>
  <c r="DQ52" i="52"/>
  <c r="DD52" i="52"/>
  <c r="CQ52" i="52"/>
  <c r="CN52" i="52"/>
  <c r="DZ52" i="52"/>
  <c r="DM52" i="52"/>
  <c r="CZ52" i="52"/>
  <c r="CE52" i="52"/>
  <c r="BT52" i="52"/>
  <c r="DL52" i="52"/>
  <c r="BU52" i="52"/>
  <c r="DK52" i="52"/>
  <c r="BV52" i="52"/>
  <c r="DJ52" i="52"/>
  <c r="BW52" i="52"/>
  <c r="DI52" i="52"/>
  <c r="BX52" i="52"/>
  <c r="BP2" i="52"/>
  <c r="BN61" i="52"/>
  <c r="BO61" i="52" s="1"/>
  <c r="BN65" i="52"/>
  <c r="BO65" i="52" s="1"/>
  <c r="BQ5" i="52"/>
  <c r="BS15" i="52" s="1"/>
  <c r="BV17" i="52"/>
  <c r="CB52" i="52" l="1"/>
  <c r="CO52" i="52"/>
  <c r="DB52" i="52"/>
  <c r="DO52" i="52"/>
  <c r="EB52" i="52"/>
  <c r="L31" i="61"/>
  <c r="V31" i="61" s="1"/>
  <c r="CB57" i="52"/>
  <c r="BQ2" i="52"/>
  <c r="BP61" i="52"/>
  <c r="BP65" i="52"/>
  <c r="BR7" i="52"/>
  <c r="BR5" i="52" s="1"/>
  <c r="BT15" i="52" s="1"/>
  <c r="BW17" i="52"/>
  <c r="BR2" i="52" l="1"/>
  <c r="BQ61" i="52"/>
  <c r="BQ65" i="52"/>
  <c r="BS7" i="52"/>
  <c r="BS5" i="52" s="1"/>
  <c r="BU15" i="52" s="1"/>
  <c r="BX17" i="52"/>
  <c r="BS2" i="52" l="1"/>
  <c r="BR61" i="52"/>
  <c r="BR65" i="52"/>
  <c r="BT7" i="52"/>
  <c r="BT5" i="52" s="1"/>
  <c r="BV15" i="52" s="1"/>
  <c r="BY17" i="52"/>
  <c r="BT2" i="52" l="1"/>
  <c r="BS65" i="52"/>
  <c r="BS61" i="52"/>
  <c r="BU7" i="52"/>
  <c r="BU5" i="52" s="1"/>
  <c r="BW15" i="52" s="1"/>
  <c r="CB20" i="52"/>
  <c r="BZ17" i="52"/>
  <c r="BU2" i="52" l="1"/>
  <c r="BT65" i="52"/>
  <c r="BT61" i="52"/>
  <c r="BV7" i="52"/>
  <c r="BV5" i="52" s="1"/>
  <c r="BX15" i="52" s="1"/>
  <c r="CA17" i="52"/>
  <c r="CB17" i="52" s="1"/>
  <c r="BV2" i="52" l="1"/>
  <c r="BU65" i="52"/>
  <c r="BU61" i="52"/>
  <c r="BW7" i="52"/>
  <c r="BW5" i="52" s="1"/>
  <c r="BY15" i="52" s="1"/>
  <c r="CC17" i="52"/>
  <c r="CB14" i="52"/>
  <c r="CA27" i="52"/>
  <c r="BO15" i="52"/>
  <c r="BW2" i="52" l="1"/>
  <c r="BV65" i="52"/>
  <c r="BV61" i="52"/>
  <c r="BX7" i="52"/>
  <c r="BX5" i="52" s="1"/>
  <c r="BZ15" i="52" s="1"/>
  <c r="CA24" i="52"/>
  <c r="CB24" i="52" s="1"/>
  <c r="L11" i="71" s="1"/>
  <c r="CB27" i="52"/>
  <c r="L11" i="61" l="1"/>
  <c r="BX2" i="52"/>
  <c r="L27" i="71" s="1"/>
  <c r="BW65" i="52"/>
  <c r="BW61" i="52"/>
  <c r="BY7" i="52"/>
  <c r="BY5" i="52" s="1"/>
  <c r="CA15" i="52" s="1"/>
  <c r="CD17" i="52"/>
  <c r="L27" i="61" l="1"/>
  <c r="BY2" i="52"/>
  <c r="BX61" i="52"/>
  <c r="BX65" i="52"/>
  <c r="BZ7" i="52"/>
  <c r="BZ5" i="52" s="1"/>
  <c r="CC15" i="52" s="1"/>
  <c r="CE17" i="52"/>
  <c r="BZ2" i="52" l="1"/>
  <c r="BY61" i="52"/>
  <c r="BY65" i="52"/>
  <c r="CA7" i="52"/>
  <c r="CB7" i="52" s="1"/>
  <c r="CF17" i="52"/>
  <c r="CA2" i="52" l="1"/>
  <c r="BZ65" i="52"/>
  <c r="BZ61" i="52"/>
  <c r="CA5" i="52"/>
  <c r="CD15" i="52" s="1"/>
  <c r="CC2" i="52" l="1"/>
  <c r="CA61" i="52"/>
  <c r="CB61" i="52" s="1"/>
  <c r="CA65" i="52"/>
  <c r="CB65" i="52" s="1"/>
  <c r="CC7" i="52"/>
  <c r="CC5" i="52" s="1"/>
  <c r="CE15" i="52" s="1"/>
  <c r="CB5" i="52"/>
  <c r="CG17" i="52"/>
  <c r="CD2" i="52" l="1"/>
  <c r="CC65" i="52"/>
  <c r="CC61" i="52"/>
  <c r="CD7" i="52"/>
  <c r="CD5" i="52" s="1"/>
  <c r="CF15" i="52" s="1"/>
  <c r="CH17" i="52"/>
  <c r="CE2" i="52" l="1"/>
  <c r="CD65" i="52"/>
  <c r="CD61" i="52"/>
  <c r="CE7" i="52"/>
  <c r="CI17" i="52"/>
  <c r="CF2" i="52" l="1"/>
  <c r="CE65" i="52"/>
  <c r="CE61" i="52"/>
  <c r="CE5" i="52"/>
  <c r="CG15" i="52" s="1"/>
  <c r="CJ17" i="52"/>
  <c r="CG2" i="52" l="1"/>
  <c r="CF65" i="52"/>
  <c r="CF61" i="52"/>
  <c r="CF7" i="52"/>
  <c r="CK17" i="52"/>
  <c r="CH2" i="52" l="1"/>
  <c r="CG61" i="52"/>
  <c r="CG65" i="52"/>
  <c r="CF5" i="52"/>
  <c r="CH15" i="52" s="1"/>
  <c r="CL17" i="52"/>
  <c r="CI2" i="52" l="1"/>
  <c r="CH61" i="52"/>
  <c r="CO61" i="52" s="1"/>
  <c r="CH65" i="52"/>
  <c r="CO65" i="52" s="1"/>
  <c r="CG7" i="52"/>
  <c r="CG5" i="52" s="1"/>
  <c r="CI15" i="52" s="1"/>
  <c r="CO20" i="52"/>
  <c r="CM17" i="52"/>
  <c r="CJ2" i="52" l="1"/>
  <c r="CH7" i="52"/>
  <c r="CH5" i="52" s="1"/>
  <c r="CJ15" i="52" s="1"/>
  <c r="CN17" i="52"/>
  <c r="CO17" i="52" s="1"/>
  <c r="CK2" i="52" l="1"/>
  <c r="CI7" i="52"/>
  <c r="CI5" i="52" s="1"/>
  <c r="CK15" i="52" s="1"/>
  <c r="CL2" i="52" l="1"/>
  <c r="CM2" i="52" s="1"/>
  <c r="N27" i="71"/>
  <c r="CJ7" i="52"/>
  <c r="CJ5" i="52" s="1"/>
  <c r="CL15" i="52" s="1"/>
  <c r="CP17" i="52"/>
  <c r="CO14" i="52"/>
  <c r="CN27" i="52"/>
  <c r="N27" i="61" l="1"/>
  <c r="CN2" i="52"/>
  <c r="CK7" i="52"/>
  <c r="CK5" i="52" s="1"/>
  <c r="CM15" i="52" s="1"/>
  <c r="CN24" i="52"/>
  <c r="CO24" i="52" s="1"/>
  <c r="N11" i="71" s="1"/>
  <c r="CO27" i="52"/>
  <c r="CQ17" i="52"/>
  <c r="N11" i="61" l="1"/>
  <c r="CP2" i="52"/>
  <c r="CL7" i="52"/>
  <c r="CL5" i="52" s="1"/>
  <c r="CN15" i="52" s="1"/>
  <c r="CR17" i="52"/>
  <c r="CQ2" i="52" l="1"/>
  <c r="CM7" i="52"/>
  <c r="CM5" i="52" s="1"/>
  <c r="CP15" i="52" s="1"/>
  <c r="CS17" i="52"/>
  <c r="CB15" i="52"/>
  <c r="CR2" i="52" l="1"/>
  <c r="CN7" i="52"/>
  <c r="CO7" i="52" s="1"/>
  <c r="CT17" i="52"/>
  <c r="CS2" i="52" l="1"/>
  <c r="CN5" i="52"/>
  <c r="CQ15" i="52" s="1"/>
  <c r="CU17" i="52"/>
  <c r="CT2" i="52" l="1"/>
  <c r="CP7" i="52"/>
  <c r="CP5" i="52" s="1"/>
  <c r="CR15" i="52" s="1"/>
  <c r="CO5" i="52"/>
  <c r="CV17" i="52"/>
  <c r="CU2" i="52" l="1"/>
  <c r="CQ7" i="52"/>
  <c r="CQ5" i="52" s="1"/>
  <c r="CS15" i="52" s="1"/>
  <c r="CW17" i="52"/>
  <c r="CV2" i="52" l="1"/>
  <c r="CR7" i="52"/>
  <c r="CR5" i="52" s="1"/>
  <c r="CT15" i="52" s="1"/>
  <c r="CX17" i="52"/>
  <c r="CW2" i="52" l="1"/>
  <c r="CS7" i="52"/>
  <c r="CS5" i="52" s="1"/>
  <c r="CU15" i="52" s="1"/>
  <c r="CY17" i="52"/>
  <c r="CX2" i="52" l="1"/>
  <c r="CT7" i="52"/>
  <c r="CT5" i="52" s="1"/>
  <c r="CV15" i="52" s="1"/>
  <c r="DB20" i="52"/>
  <c r="CZ17" i="52"/>
  <c r="CY2" i="52" l="1"/>
  <c r="CZ2" i="52" s="1"/>
  <c r="P27" i="71"/>
  <c r="CU7" i="52"/>
  <c r="CU5" i="52" s="1"/>
  <c r="CW15" i="52" s="1"/>
  <c r="DA17" i="52"/>
  <c r="DB17" i="52" s="1"/>
  <c r="P27" i="61" l="1"/>
  <c r="DA2" i="52"/>
  <c r="CV7" i="52"/>
  <c r="CV5" i="52" s="1"/>
  <c r="CX15" i="52" s="1"/>
  <c r="DC2" i="52" l="1"/>
  <c r="CW7" i="52"/>
  <c r="CW5" i="52" s="1"/>
  <c r="CY15" i="52" s="1"/>
  <c r="DC17" i="52"/>
  <c r="DB14" i="52"/>
  <c r="DA27" i="52"/>
  <c r="DD2" i="52" l="1"/>
  <c r="CX7" i="52"/>
  <c r="CX5" i="52" s="1"/>
  <c r="CZ15" i="52" s="1"/>
  <c r="DD17" i="52"/>
  <c r="DA24" i="52"/>
  <c r="DB24" i="52" s="1"/>
  <c r="P11" i="71" s="1"/>
  <c r="DB27" i="52"/>
  <c r="P11" i="61" l="1"/>
  <c r="DE2" i="52"/>
  <c r="CY7" i="52"/>
  <c r="CY5" i="52" s="1"/>
  <c r="DA15" i="52" s="1"/>
  <c r="DE17" i="52"/>
  <c r="DF2" i="52" l="1"/>
  <c r="CZ7" i="52"/>
  <c r="CZ5" i="52" s="1"/>
  <c r="DC15" i="52" s="1"/>
  <c r="DF17" i="52"/>
  <c r="DG2" i="52" l="1"/>
  <c r="DA7" i="52"/>
  <c r="DB7" i="52" s="1"/>
  <c r="DG17" i="52"/>
  <c r="DH2" i="52" l="1"/>
  <c r="DA5" i="52"/>
  <c r="DH17" i="52"/>
  <c r="DI2" i="52" l="1"/>
  <c r="DC7" i="52"/>
  <c r="DC5" i="52" s="1"/>
  <c r="DE15" i="52" s="1"/>
  <c r="DD15" i="52"/>
  <c r="DB5" i="52"/>
  <c r="DI17" i="52"/>
  <c r="DJ2" i="52" l="1"/>
  <c r="DD7" i="52"/>
  <c r="DJ17" i="52"/>
  <c r="CO15" i="52"/>
  <c r="DK2" i="52" l="1"/>
  <c r="DD5" i="52"/>
  <c r="DF15" i="52" s="1"/>
  <c r="DK17" i="52"/>
  <c r="DL2" i="52" l="1"/>
  <c r="DM2" i="52" s="1"/>
  <c r="R27" i="71"/>
  <c r="DE7" i="52"/>
  <c r="DL17" i="52"/>
  <c r="R27" i="61" l="1"/>
  <c r="DN2" i="52"/>
  <c r="DE5" i="52"/>
  <c r="DG15" i="52" s="1"/>
  <c r="DO20" i="52"/>
  <c r="DM17" i="52"/>
  <c r="DP2" i="52" l="1"/>
  <c r="DF7" i="52"/>
  <c r="DF5" i="52" s="1"/>
  <c r="DH15" i="52" s="1"/>
  <c r="DN17" i="52"/>
  <c r="DO17" i="52" s="1"/>
  <c r="DQ2" i="52" l="1"/>
  <c r="DG7" i="52"/>
  <c r="DG5" i="52" s="1"/>
  <c r="DI15" i="52" s="1"/>
  <c r="DP17" i="52"/>
  <c r="DO14" i="52"/>
  <c r="DN27" i="52"/>
  <c r="DR2" i="52" l="1"/>
  <c r="DH7" i="52"/>
  <c r="DH5" i="52" s="1"/>
  <c r="DJ15" i="52" s="1"/>
  <c r="DO27" i="52"/>
  <c r="DN24" i="52"/>
  <c r="DO24" i="52" s="1"/>
  <c r="R11" i="71" s="1"/>
  <c r="DQ17" i="52"/>
  <c r="R11" i="61" l="1"/>
  <c r="DS2" i="52"/>
  <c r="DI7" i="52"/>
  <c r="DI5" i="52" s="1"/>
  <c r="DK15" i="52" s="1"/>
  <c r="DR17" i="52"/>
  <c r="DT2" i="52" l="1"/>
  <c r="DJ7" i="52"/>
  <c r="DJ5" i="52" s="1"/>
  <c r="DL15" i="52" s="1"/>
  <c r="DS17" i="52"/>
  <c r="DU2" i="52" l="1"/>
  <c r="DK7" i="52"/>
  <c r="DK5" i="52" s="1"/>
  <c r="DM15" i="52" s="1"/>
  <c r="DV2" i="52" l="1"/>
  <c r="DL7" i="52"/>
  <c r="DL5" i="52" s="1"/>
  <c r="DN15" i="52" s="1"/>
  <c r="DT17" i="52"/>
  <c r="DW2" i="52" l="1"/>
  <c r="DM7" i="52"/>
  <c r="DM5" i="52" s="1"/>
  <c r="DP15" i="52" s="1"/>
  <c r="DU17" i="52"/>
  <c r="DX2" i="52" l="1"/>
  <c r="DN7" i="52"/>
  <c r="DO7" i="52" s="1"/>
  <c r="DV17" i="52"/>
  <c r="DY2" i="52" l="1"/>
  <c r="DZ2" i="52" s="1"/>
  <c r="EA2" i="52" s="1"/>
  <c r="T27" i="71"/>
  <c r="V27" i="71" s="1"/>
  <c r="DN5" i="52"/>
  <c r="DQ15" i="52" s="1"/>
  <c r="DW17" i="52"/>
  <c r="T27" i="61" l="1"/>
  <c r="DP7" i="52"/>
  <c r="DO5" i="52"/>
  <c r="DX17" i="52"/>
  <c r="V27" i="61" l="1"/>
  <c r="DP5" i="52"/>
  <c r="DR15" i="52" s="1"/>
  <c r="DY17" i="52"/>
  <c r="DQ7" i="52" l="1"/>
  <c r="DQ5" i="52" s="1"/>
  <c r="DS15" i="52" s="1"/>
  <c r="EB20" i="52"/>
  <c r="DZ17" i="52"/>
  <c r="DR7" i="52" l="1"/>
  <c r="DR5" i="52" s="1"/>
  <c r="DT15" i="52" s="1"/>
  <c r="EA17" i="52"/>
  <c r="EB17" i="52" s="1"/>
  <c r="DS7" i="52" l="1"/>
  <c r="DS5" i="52" s="1"/>
  <c r="DU15" i="52" s="1"/>
  <c r="DB15" i="52"/>
  <c r="DT7" i="52" l="1"/>
  <c r="DT5" i="52" s="1"/>
  <c r="DV15" i="52" s="1"/>
  <c r="EB14" i="52"/>
  <c r="EA27" i="52"/>
  <c r="DU7" i="52" l="1"/>
  <c r="DU5" i="52" s="1"/>
  <c r="DW15" i="52" s="1"/>
  <c r="EB27" i="52"/>
  <c r="EA24" i="52"/>
  <c r="EB24" i="52" s="1"/>
  <c r="T11" i="71" s="1"/>
  <c r="V11" i="71" l="1"/>
  <c r="T11" i="61"/>
  <c r="DV7" i="52"/>
  <c r="DV5" i="52" s="1"/>
  <c r="DX15" i="52" s="1"/>
  <c r="V11" i="61" l="1"/>
  <c r="DW7" i="52"/>
  <c r="DW5" i="52" s="1"/>
  <c r="DY15" i="52" s="1"/>
  <c r="DX7" i="52" l="1"/>
  <c r="DX5" i="52" s="1"/>
  <c r="DZ15" i="52" s="1"/>
  <c r="DY7" i="52" l="1"/>
  <c r="DY5" i="52" s="1"/>
  <c r="EA15" i="52" s="1"/>
  <c r="DZ7" i="52" l="1"/>
  <c r="DZ5" i="52" s="1"/>
  <c r="EA7" i="52" l="1"/>
  <c r="EB7" i="52" s="1"/>
  <c r="EA5" i="52" l="1"/>
  <c r="EB5" i="52" l="1"/>
  <c r="DO15" i="52" l="1"/>
  <c r="EB15" i="52" l="1"/>
  <c r="D17" i="61" l="1"/>
  <c r="P17" i="61" l="1"/>
  <c r="P17" i="71"/>
  <c r="N17" i="61"/>
  <c r="N17" i="71"/>
  <c r="B17" i="61"/>
  <c r="B17" i="71"/>
  <c r="L17" i="61"/>
  <c r="L17" i="71"/>
  <c r="H17" i="61"/>
  <c r="H17" i="71"/>
  <c r="J17" i="61"/>
  <c r="J17" i="71"/>
  <c r="T17" i="61"/>
  <c r="T17" i="71"/>
  <c r="F17" i="61"/>
  <c r="F17" i="71"/>
  <c r="R17" i="61"/>
  <c r="R17" i="71"/>
  <c r="E29" i="52"/>
  <c r="E53" i="52" s="1"/>
  <c r="V17" i="61" l="1"/>
  <c r="V17" i="71"/>
  <c r="E59" i="52"/>
  <c r="E62" i="52" s="1"/>
  <c r="E64" i="52" s="1"/>
  <c r="E68" i="52"/>
  <c r="E69" i="52" l="1"/>
  <c r="E66" i="52"/>
  <c r="F29" i="52" l="1"/>
  <c r="F53" i="52" s="1"/>
  <c r="F59" i="52" l="1"/>
  <c r="F62" i="52" s="1"/>
  <c r="F64" i="52" s="1"/>
  <c r="F68" i="52"/>
  <c r="G54" i="52"/>
  <c r="G59" i="52"/>
  <c r="F69" i="52" l="1"/>
  <c r="G68" i="52"/>
  <c r="G60" i="52"/>
  <c r="G62" i="52"/>
  <c r="F66" i="52"/>
  <c r="G69" i="52" l="1"/>
  <c r="G64" i="52"/>
  <c r="G66" i="52" l="1"/>
  <c r="V16" i="61"/>
  <c r="H22" i="52" l="1"/>
  <c r="J16" i="52"/>
  <c r="H16" i="52"/>
  <c r="H4" i="52" l="1"/>
  <c r="I10" i="52"/>
  <c r="I22" i="52"/>
  <c r="I21" i="52" s="1"/>
  <c r="I16" i="52"/>
  <c r="H21" i="52"/>
  <c r="H13" i="52" s="1"/>
  <c r="J22" i="52" l="1"/>
  <c r="J21" i="52" s="1"/>
  <c r="H12" i="52"/>
  <c r="H51" i="52"/>
  <c r="H28" i="52"/>
  <c r="H50" i="52"/>
  <c r="I18" i="52"/>
  <c r="I13" i="52" s="1"/>
  <c r="I8" i="52"/>
  <c r="I50" i="52" l="1"/>
  <c r="I28" i="52"/>
  <c r="I51" i="52"/>
  <c r="H40" i="52"/>
  <c r="J10" i="52"/>
  <c r="J8" i="52" s="1"/>
  <c r="L16" i="52" s="1"/>
  <c r="I4" i="52"/>
  <c r="K16" i="52"/>
  <c r="J4" i="52" l="1"/>
  <c r="L22" i="52" s="1"/>
  <c r="L21" i="52" s="1"/>
  <c r="K10" i="52"/>
  <c r="K18" i="52" s="1"/>
  <c r="K22" i="52"/>
  <c r="H29" i="52"/>
  <c r="H53" i="52" s="1"/>
  <c r="I12" i="52"/>
  <c r="J18" i="52"/>
  <c r="J13" i="52" s="1"/>
  <c r="I40" i="52"/>
  <c r="I29" i="52" s="1"/>
  <c r="I53" i="52" s="1"/>
  <c r="L13" i="52" l="1"/>
  <c r="L51" i="52" s="1"/>
  <c r="K8" i="52"/>
  <c r="I59" i="52"/>
  <c r="I54" i="52"/>
  <c r="H54" i="52"/>
  <c r="H59" i="52"/>
  <c r="H68" i="52"/>
  <c r="L10" i="52"/>
  <c r="L8" i="52" s="1"/>
  <c r="M16" i="52"/>
  <c r="K4" i="52"/>
  <c r="K21" i="52"/>
  <c r="J50" i="52"/>
  <c r="J51" i="52"/>
  <c r="J12" i="52"/>
  <c r="J28" i="52"/>
  <c r="L50" i="52" l="1"/>
  <c r="L40" i="52" s="1"/>
  <c r="L29" i="52" s="1"/>
  <c r="L28" i="52"/>
  <c r="J40" i="52"/>
  <c r="M10" i="52"/>
  <c r="L4" i="52"/>
  <c r="N16" i="52"/>
  <c r="O16" i="52" s="1"/>
  <c r="M8" i="52"/>
  <c r="H60" i="52"/>
  <c r="H62" i="52"/>
  <c r="K13" i="52"/>
  <c r="M22" i="52"/>
  <c r="H69" i="52"/>
  <c r="I68" i="52"/>
  <c r="I62" i="52"/>
  <c r="I64" i="52" s="1"/>
  <c r="I66" i="52" s="1"/>
  <c r="I60" i="52"/>
  <c r="L53" i="52" l="1"/>
  <c r="L59" i="52" s="1"/>
  <c r="I69" i="52"/>
  <c r="M4" i="52"/>
  <c r="N10" i="52"/>
  <c r="O10" i="52" s="1"/>
  <c r="O11" i="52" s="1"/>
  <c r="P16" i="52"/>
  <c r="K50" i="52"/>
  <c r="K12" i="52"/>
  <c r="K51" i="52"/>
  <c r="K28" i="52"/>
  <c r="M21" i="52"/>
  <c r="H64" i="52"/>
  <c r="J29" i="52"/>
  <c r="J53" i="52" s="1"/>
  <c r="N22" i="52"/>
  <c r="N21" i="52" s="1"/>
  <c r="N13" i="52" s="1"/>
  <c r="L12" i="52"/>
  <c r="L54" i="52" l="1"/>
  <c r="N8" i="52"/>
  <c r="P10" i="52" s="1"/>
  <c r="N50" i="52"/>
  <c r="N28" i="52"/>
  <c r="N51" i="52"/>
  <c r="H66" i="52"/>
  <c r="K40" i="52"/>
  <c r="J54" i="52"/>
  <c r="J59" i="52"/>
  <c r="P22" i="52"/>
  <c r="P21" i="52" s="1"/>
  <c r="P13" i="52" s="1"/>
  <c r="O22" i="52"/>
  <c r="J68" i="52"/>
  <c r="O21" i="52"/>
  <c r="M13" i="52"/>
  <c r="L62" i="52"/>
  <c r="L64" i="52" s="1"/>
  <c r="L66" i="52" s="1"/>
  <c r="L60" i="52"/>
  <c r="O8" i="52" l="1"/>
  <c r="N4" i="52"/>
  <c r="O4" i="52" s="1"/>
  <c r="B6" i="61" s="1"/>
  <c r="P8" i="52"/>
  <c r="Q10" i="52" s="1"/>
  <c r="Q8" i="52" s="1"/>
  <c r="Q16" i="52"/>
  <c r="M50" i="52"/>
  <c r="O50" i="52" s="1"/>
  <c r="M51" i="52"/>
  <c r="O51" i="52" s="1"/>
  <c r="M12" i="52"/>
  <c r="M28" i="52"/>
  <c r="O13" i="52"/>
  <c r="J62" i="52"/>
  <c r="J60" i="52"/>
  <c r="J69" i="52"/>
  <c r="K29" i="52"/>
  <c r="K53" i="52" s="1"/>
  <c r="N40" i="52"/>
  <c r="N29" i="52" s="1"/>
  <c r="N53" i="52" s="1"/>
  <c r="Q22" i="52" l="1"/>
  <c r="Q21" i="52" s="1"/>
  <c r="Q13" i="52" s="1"/>
  <c r="B6" i="71"/>
  <c r="N12" i="52"/>
  <c r="O40" i="52"/>
  <c r="O29" i="52" s="1"/>
  <c r="O12" i="52"/>
  <c r="B7" i="61" s="1"/>
  <c r="R16" i="52"/>
  <c r="P4" i="52"/>
  <c r="R22" i="52" s="1"/>
  <c r="K68" i="52"/>
  <c r="L68" i="52" s="1"/>
  <c r="Q50" i="52"/>
  <c r="B7" i="71"/>
  <c r="N54" i="52"/>
  <c r="N59" i="52"/>
  <c r="Q4" i="52"/>
  <c r="R10" i="52"/>
  <c r="R8" i="52" s="1"/>
  <c r="S16" i="52"/>
  <c r="B9" i="71"/>
  <c r="B9" i="61"/>
  <c r="J64" i="52"/>
  <c r="M40" i="52"/>
  <c r="O28" i="52"/>
  <c r="B26" i="61"/>
  <c r="B26" i="71"/>
  <c r="K59" i="52"/>
  <c r="K54" i="52"/>
  <c r="Q51" i="52" l="1"/>
  <c r="Q40" i="52" s="1"/>
  <c r="Q29" i="52" s="1"/>
  <c r="Q28" i="52"/>
  <c r="C9" i="61"/>
  <c r="C11" i="61"/>
  <c r="C9" i="71"/>
  <c r="C11" i="71"/>
  <c r="K69" i="52"/>
  <c r="C4" i="62"/>
  <c r="B13" i="61"/>
  <c r="R21" i="52"/>
  <c r="L69" i="52"/>
  <c r="S22" i="52"/>
  <c r="S21" i="52" s="1"/>
  <c r="S13" i="52" s="1"/>
  <c r="Q12" i="52"/>
  <c r="R4" i="52"/>
  <c r="S10" i="52"/>
  <c r="S8" i="52" s="1"/>
  <c r="T16" i="52"/>
  <c r="K60" i="52"/>
  <c r="K62" i="52"/>
  <c r="M29" i="52"/>
  <c r="M53" i="52" s="1"/>
  <c r="O53" i="52" s="1"/>
  <c r="J66" i="52"/>
  <c r="N62" i="52"/>
  <c r="N64" i="52" s="1"/>
  <c r="N66" i="52" s="1"/>
  <c r="N60" i="52"/>
  <c r="B13" i="71"/>
  <c r="C13" i="71" s="1"/>
  <c r="P50" i="52"/>
  <c r="P12" i="52"/>
  <c r="P51" i="52"/>
  <c r="P28" i="52"/>
  <c r="B25" i="71"/>
  <c r="B15" i="71" s="1"/>
  <c r="B25" i="61"/>
  <c r="Q53" i="52" l="1"/>
  <c r="Q54" i="52" s="1"/>
  <c r="P40" i="52"/>
  <c r="E13" i="62"/>
  <c r="F13" i="62"/>
  <c r="G13" i="62"/>
  <c r="H13" i="62"/>
  <c r="I13" i="62"/>
  <c r="J13" i="62"/>
  <c r="K64" i="52"/>
  <c r="S4" i="52"/>
  <c r="U22" i="52" s="1"/>
  <c r="U21" i="52" s="1"/>
  <c r="U16" i="52"/>
  <c r="T10" i="52"/>
  <c r="T8" i="52" s="1"/>
  <c r="B29" i="71"/>
  <c r="C13" i="61"/>
  <c r="M54" i="52"/>
  <c r="O54" i="52" s="1"/>
  <c r="M59" i="52"/>
  <c r="S50" i="52"/>
  <c r="S51" i="52"/>
  <c r="S28" i="52"/>
  <c r="M68" i="52"/>
  <c r="B15" i="61"/>
  <c r="B29" i="61" s="1"/>
  <c r="R13" i="52"/>
  <c r="T22" i="52"/>
  <c r="Q59" i="52" l="1"/>
  <c r="Q62" i="52" s="1"/>
  <c r="Q63" i="52" s="1"/>
  <c r="Q64" i="52" s="1"/>
  <c r="Q66" i="52" s="1"/>
  <c r="S12" i="52"/>
  <c r="C25" i="61"/>
  <c r="C25" i="71"/>
  <c r="C29" i="71"/>
  <c r="B33" i="71"/>
  <c r="C33" i="71" s="1"/>
  <c r="C29" i="61"/>
  <c r="B33" i="61"/>
  <c r="C33" i="61" s="1"/>
  <c r="U10" i="52"/>
  <c r="U8" i="52" s="1"/>
  <c r="T4" i="52"/>
  <c r="V16" i="52"/>
  <c r="S40" i="52"/>
  <c r="S29" i="52" s="1"/>
  <c r="S53" i="52" s="1"/>
  <c r="P29" i="52"/>
  <c r="P53" i="52" s="1"/>
  <c r="U13" i="52"/>
  <c r="M62" i="52"/>
  <c r="M60" i="52"/>
  <c r="O60" i="52" s="1"/>
  <c r="O59" i="52"/>
  <c r="M69" i="52"/>
  <c r="N68" i="52"/>
  <c r="T21" i="52"/>
  <c r="R51" i="52"/>
  <c r="R12" i="52"/>
  <c r="R28" i="52"/>
  <c r="R50" i="52"/>
  <c r="C19" i="61"/>
  <c r="C22" i="61"/>
  <c r="C16" i="61"/>
  <c r="C21" i="61"/>
  <c r="C23" i="61"/>
  <c r="C17" i="61"/>
  <c r="C20" i="61"/>
  <c r="C24" i="61"/>
  <c r="C27" i="61"/>
  <c r="C18" i="61"/>
  <c r="C15" i="61"/>
  <c r="C26" i="61"/>
  <c r="K66" i="52"/>
  <c r="C22" i="71"/>
  <c r="C18" i="71"/>
  <c r="C23" i="71"/>
  <c r="C16" i="71"/>
  <c r="C21" i="71"/>
  <c r="C24" i="71"/>
  <c r="C15" i="71"/>
  <c r="C17" i="71"/>
  <c r="C20" i="71"/>
  <c r="C19" i="71"/>
  <c r="C27" i="71"/>
  <c r="C26" i="71"/>
  <c r="Q60" i="52" l="1"/>
  <c r="S54" i="52"/>
  <c r="S59" i="52"/>
  <c r="T13" i="52"/>
  <c r="N69" i="52"/>
  <c r="O69" i="52" s="1"/>
  <c r="P68" i="52"/>
  <c r="V22" i="52"/>
  <c r="P54" i="52"/>
  <c r="P59" i="52"/>
  <c r="V10" i="52"/>
  <c r="V8" i="52" s="1"/>
  <c r="U4" i="52"/>
  <c r="W22" i="52" s="1"/>
  <c r="W21" i="52" s="1"/>
  <c r="W16" i="52"/>
  <c r="M64" i="52"/>
  <c r="O62" i="52"/>
  <c r="R40" i="52"/>
  <c r="U51" i="52"/>
  <c r="U28" i="52"/>
  <c r="U50" i="52"/>
  <c r="U40" i="52" l="1"/>
  <c r="U29" i="52" s="1"/>
  <c r="U53" i="52" s="1"/>
  <c r="W13" i="52"/>
  <c r="W51" i="52" s="1"/>
  <c r="U12" i="52"/>
  <c r="C41" i="61"/>
  <c r="C41" i="71"/>
  <c r="V4" i="52"/>
  <c r="W10" i="52"/>
  <c r="W8" i="52" s="1"/>
  <c r="X16" i="52"/>
  <c r="R29" i="52"/>
  <c r="R53" i="52" s="1"/>
  <c r="B35" i="71"/>
  <c r="B35" i="61"/>
  <c r="M66" i="52"/>
  <c r="O66" i="52" s="1"/>
  <c r="O64" i="52"/>
  <c r="V21" i="52"/>
  <c r="P69" i="52"/>
  <c r="Q68" i="52"/>
  <c r="T50" i="52"/>
  <c r="T51" i="52"/>
  <c r="T12" i="52"/>
  <c r="T28" i="52"/>
  <c r="P60" i="52"/>
  <c r="P62" i="52"/>
  <c r="S60" i="52"/>
  <c r="S62" i="52"/>
  <c r="W28" i="52" l="1"/>
  <c r="W50" i="52"/>
  <c r="W40" i="52" s="1"/>
  <c r="W29" i="52" s="1"/>
  <c r="X10" i="52"/>
  <c r="X8" i="52" s="1"/>
  <c r="W4" i="52"/>
  <c r="Y16" i="52"/>
  <c r="C35" i="71"/>
  <c r="T40" i="52"/>
  <c r="S63" i="52"/>
  <c r="S64" i="52" s="1"/>
  <c r="S66" i="52" s="1"/>
  <c r="V13" i="52"/>
  <c r="X22" i="52"/>
  <c r="Q69" i="52"/>
  <c r="R68" i="52"/>
  <c r="B37" i="71"/>
  <c r="B37" i="61"/>
  <c r="C35" i="61"/>
  <c r="R54" i="52"/>
  <c r="R59" i="52"/>
  <c r="P63" i="52"/>
  <c r="P64" i="52" s="1"/>
  <c r="U54" i="52"/>
  <c r="U59" i="52"/>
  <c r="B39" i="71"/>
  <c r="B39" i="61"/>
  <c r="W53" i="52" l="1"/>
  <c r="C37" i="71"/>
  <c r="V50" i="52"/>
  <c r="V28" i="52"/>
  <c r="V12" i="52"/>
  <c r="V51" i="52"/>
  <c r="X4" i="52"/>
  <c r="Y10" i="52"/>
  <c r="Y8" i="52" s="1"/>
  <c r="Z16" i="52"/>
  <c r="R60" i="52"/>
  <c r="R62" i="52"/>
  <c r="R69" i="52"/>
  <c r="S68" i="52"/>
  <c r="X21" i="52"/>
  <c r="Y22" i="52"/>
  <c r="Y21" i="52" s="1"/>
  <c r="Y13" i="52" s="1"/>
  <c r="W12" i="52"/>
  <c r="C37" i="61"/>
  <c r="U60" i="52"/>
  <c r="U62" i="52"/>
  <c r="P66" i="52"/>
  <c r="T29" i="52"/>
  <c r="T53" i="52" s="1"/>
  <c r="C39" i="61"/>
  <c r="C39" i="71"/>
  <c r="W54" i="52"/>
  <c r="W59" i="52"/>
  <c r="Y51" i="52" l="1"/>
  <c r="Y50" i="52"/>
  <c r="Y28" i="52"/>
  <c r="Z22" i="52"/>
  <c r="Z21" i="52" s="1"/>
  <c r="Z13" i="52" s="1"/>
  <c r="U63" i="52"/>
  <c r="U64" i="52" s="1"/>
  <c r="U66" i="52" s="1"/>
  <c r="V40" i="52"/>
  <c r="T54" i="52"/>
  <c r="T59" i="52"/>
  <c r="Y4" i="52"/>
  <c r="AA22" i="52" s="1"/>
  <c r="Z10" i="52"/>
  <c r="Z8" i="52" s="1"/>
  <c r="AA16" i="52"/>
  <c r="X13" i="52"/>
  <c r="S69" i="52"/>
  <c r="T68" i="52"/>
  <c r="W60" i="52"/>
  <c r="W62" i="52"/>
  <c r="R63" i="52"/>
  <c r="R64" i="52" s="1"/>
  <c r="Y40" i="52" l="1"/>
  <c r="Y29" i="52" s="1"/>
  <c r="Y53" i="52" s="1"/>
  <c r="AA10" i="52"/>
  <c r="AB10" i="52" s="1"/>
  <c r="AB11" i="52" s="1"/>
  <c r="Z4" i="52"/>
  <c r="AC22" i="52" s="1"/>
  <c r="AC16" i="52"/>
  <c r="AA8" i="52"/>
  <c r="Z50" i="52"/>
  <c r="Z28" i="52"/>
  <c r="Z51" i="52"/>
  <c r="V29" i="52"/>
  <c r="V53" i="52" s="1"/>
  <c r="AB16" i="52"/>
  <c r="W63" i="52"/>
  <c r="W64" i="52" s="1"/>
  <c r="W66" i="52" s="1"/>
  <c r="Y12" i="52"/>
  <c r="AA21" i="52"/>
  <c r="AB21" i="52" s="1"/>
  <c r="AB22" i="52"/>
  <c r="T60" i="52"/>
  <c r="T62" i="52"/>
  <c r="T69" i="52"/>
  <c r="U68" i="52"/>
  <c r="X51" i="52"/>
  <c r="X12" i="52"/>
  <c r="X50" i="52"/>
  <c r="X28" i="52"/>
  <c r="R66" i="52"/>
  <c r="V68" i="52" l="1"/>
  <c r="AA13" i="52"/>
  <c r="AA51" i="52" s="1"/>
  <c r="AB51" i="52" s="1"/>
  <c r="Z12" i="52"/>
  <c r="Y54" i="52"/>
  <c r="Y59" i="52"/>
  <c r="Y62" i="52" s="1"/>
  <c r="AC10" i="52"/>
  <c r="AC8" i="52" s="1"/>
  <c r="AA4" i="52"/>
  <c r="AD16" i="52"/>
  <c r="AB8" i="52"/>
  <c r="U69" i="52"/>
  <c r="V54" i="52"/>
  <c r="V59" i="52"/>
  <c r="Z40" i="52"/>
  <c r="Z29" i="52" s="1"/>
  <c r="Z53" i="52" s="1"/>
  <c r="X40" i="52"/>
  <c r="AC21" i="52"/>
  <c r="AC13" i="52" s="1"/>
  <c r="T63" i="52"/>
  <c r="Y60" i="52" l="1"/>
  <c r="AA28" i="52"/>
  <c r="AB28" i="52" s="1"/>
  <c r="AB13" i="52"/>
  <c r="D9" i="71" s="1"/>
  <c r="AA50" i="52"/>
  <c r="AA12" i="52"/>
  <c r="AB12" i="52" s="1"/>
  <c r="D7" i="71" s="1"/>
  <c r="Z59" i="52"/>
  <c r="Z54" i="52"/>
  <c r="AC51" i="52"/>
  <c r="AC50" i="52"/>
  <c r="AC28" i="52"/>
  <c r="X29" i="52"/>
  <c r="X53" i="52" s="1"/>
  <c r="V69" i="52"/>
  <c r="W68" i="52"/>
  <c r="AC4" i="52"/>
  <c r="AD10" i="52"/>
  <c r="AD8" i="52" s="1"/>
  <c r="AE16" i="52"/>
  <c r="D26" i="71"/>
  <c r="D26" i="61"/>
  <c r="Y63" i="52"/>
  <c r="Y64" i="52" s="1"/>
  <c r="Y66" i="52" s="1"/>
  <c r="T64" i="52"/>
  <c r="AD22" i="52"/>
  <c r="AB4" i="52"/>
  <c r="V62" i="52"/>
  <c r="V60" i="52"/>
  <c r="AA40" i="52" l="1"/>
  <c r="AA29" i="52" s="1"/>
  <c r="AA53" i="52" s="1"/>
  <c r="AA54" i="52" s="1"/>
  <c r="AB50" i="52"/>
  <c r="AB40" i="52" s="1"/>
  <c r="AB29" i="52" s="1"/>
  <c r="E9" i="71"/>
  <c r="E11" i="71"/>
  <c r="D9" i="61"/>
  <c r="E9" i="61" s="1"/>
  <c r="D7" i="61"/>
  <c r="V63" i="52"/>
  <c r="V64" i="52" s="1"/>
  <c r="AE22" i="52"/>
  <c r="AE21" i="52" s="1"/>
  <c r="AE13" i="52" s="1"/>
  <c r="D13" i="71"/>
  <c r="AC40" i="52"/>
  <c r="W69" i="52"/>
  <c r="X68" i="52"/>
  <c r="AA59" i="52"/>
  <c r="AD4" i="52"/>
  <c r="AF22" i="52" s="1"/>
  <c r="AF21" i="52" s="1"/>
  <c r="AE10" i="52"/>
  <c r="AF16" i="52"/>
  <c r="D6" i="71"/>
  <c r="D6" i="61"/>
  <c r="AD21" i="52"/>
  <c r="T66" i="52"/>
  <c r="AC12" i="52"/>
  <c r="X59" i="52"/>
  <c r="X54" i="52"/>
  <c r="Z62" i="52"/>
  <c r="Z60" i="52"/>
  <c r="AB53" i="52" l="1"/>
  <c r="E11" i="61"/>
  <c r="D13" i="61"/>
  <c r="E13" i="61" s="1"/>
  <c r="AF13" i="52"/>
  <c r="AF28" i="52" s="1"/>
  <c r="D25" i="71"/>
  <c r="D15" i="71" s="1"/>
  <c r="E21" i="71" s="1"/>
  <c r="D25" i="61"/>
  <c r="D15" i="61" s="1"/>
  <c r="E25" i="61" s="1"/>
  <c r="V66" i="52"/>
  <c r="AE50" i="52"/>
  <c r="AE51" i="52"/>
  <c r="AE28" i="52"/>
  <c r="AC29" i="52"/>
  <c r="AC53" i="52" s="1"/>
  <c r="AB54" i="52"/>
  <c r="E13" i="71"/>
  <c r="AD13" i="52"/>
  <c r="AA62" i="52"/>
  <c r="AA60" i="52"/>
  <c r="Z63" i="52"/>
  <c r="Z64" i="52" s="1"/>
  <c r="Z66" i="52" s="1"/>
  <c r="X69" i="52"/>
  <c r="Y68" i="52"/>
  <c r="X62" i="52"/>
  <c r="X60" i="52"/>
  <c r="AB59" i="52"/>
  <c r="AE8" i="52"/>
  <c r="E26" i="61" l="1"/>
  <c r="E27" i="61"/>
  <c r="E17" i="61"/>
  <c r="E22" i="61"/>
  <c r="AF50" i="52"/>
  <c r="AF51" i="52"/>
  <c r="D29" i="61"/>
  <c r="D33" i="61" s="1"/>
  <c r="E33" i="61" s="1"/>
  <c r="E23" i="61"/>
  <c r="E24" i="61"/>
  <c r="E21" i="61"/>
  <c r="E18" i="61"/>
  <c r="E16" i="61"/>
  <c r="E20" i="61"/>
  <c r="E19" i="61"/>
  <c r="E15" i="61"/>
  <c r="E25" i="71"/>
  <c r="E26" i="71"/>
  <c r="E15" i="71"/>
  <c r="E22" i="71"/>
  <c r="E19" i="71"/>
  <c r="E27" i="71"/>
  <c r="E20" i="71"/>
  <c r="D29" i="71"/>
  <c r="D33" i="71" s="1"/>
  <c r="E33" i="71" s="1"/>
  <c r="E24" i="71"/>
  <c r="E18" i="71"/>
  <c r="E17" i="71"/>
  <c r="E23" i="71"/>
  <c r="E16" i="71"/>
  <c r="AB60" i="52"/>
  <c r="AF10" i="52"/>
  <c r="AF8" i="52" s="1"/>
  <c r="AE4" i="52"/>
  <c r="AG16" i="52"/>
  <c r="AA63" i="52"/>
  <c r="AA64" i="52" s="1"/>
  <c r="AA66" i="52" s="1"/>
  <c r="X63" i="52"/>
  <c r="X64" i="52" s="1"/>
  <c r="AB62" i="52"/>
  <c r="Y69" i="52"/>
  <c r="Z68" i="52"/>
  <c r="AD51" i="52"/>
  <c r="AD12" i="52"/>
  <c r="AD50" i="52"/>
  <c r="AD28" i="52"/>
  <c r="AC54" i="52"/>
  <c r="AC59" i="52"/>
  <c r="AE40" i="52"/>
  <c r="AE29" i="52" s="1"/>
  <c r="AE53" i="52" s="1"/>
  <c r="AF40" i="52" l="1"/>
  <c r="AF29" i="52" s="1"/>
  <c r="AF53" i="52" s="1"/>
  <c r="AF59" i="52" s="1"/>
  <c r="E29" i="61"/>
  <c r="E29" i="71"/>
  <c r="X66" i="52"/>
  <c r="AB66" i="52" s="1"/>
  <c r="AB64" i="52"/>
  <c r="AD40" i="52"/>
  <c r="AF4" i="52"/>
  <c r="AG10" i="52"/>
  <c r="AG8" i="52" s="1"/>
  <c r="AH16" i="52"/>
  <c r="AE59" i="52"/>
  <c r="AE54" i="52"/>
  <c r="D35" i="61"/>
  <c r="D35" i="71"/>
  <c r="AB63" i="52"/>
  <c r="Z69" i="52"/>
  <c r="AA68" i="52"/>
  <c r="AG22" i="52"/>
  <c r="AE12" i="52"/>
  <c r="AC60" i="52"/>
  <c r="AC62" i="52"/>
  <c r="AF54" i="52" l="1"/>
  <c r="AE60" i="52"/>
  <c r="AE62" i="52"/>
  <c r="AH22" i="52"/>
  <c r="AH21" i="52" s="1"/>
  <c r="AH13" i="52" s="1"/>
  <c r="AF12" i="52"/>
  <c r="D39" i="61"/>
  <c r="D39" i="71"/>
  <c r="AA69" i="52"/>
  <c r="AB69" i="52" s="1"/>
  <c r="AC68" i="52"/>
  <c r="AG4" i="52"/>
  <c r="AI22" i="52" s="1"/>
  <c r="AI21" i="52" s="1"/>
  <c r="AH10" i="52"/>
  <c r="AH8" i="52" s="1"/>
  <c r="AI16" i="52"/>
  <c r="E35" i="71"/>
  <c r="AC63" i="52"/>
  <c r="AC64" i="52" s="1"/>
  <c r="AD29" i="52"/>
  <c r="AD53" i="52" s="1"/>
  <c r="D37" i="71"/>
  <c r="D37" i="61"/>
  <c r="AF62" i="52"/>
  <c r="AF60" i="52"/>
  <c r="E35" i="61"/>
  <c r="AG21" i="52"/>
  <c r="AH4" i="52" l="1"/>
  <c r="AJ22" i="52" s="1"/>
  <c r="AJ21" i="52" s="1"/>
  <c r="AI10" i="52"/>
  <c r="AI8" i="52" s="1"/>
  <c r="AJ16" i="52"/>
  <c r="AH50" i="52"/>
  <c r="AH51" i="52"/>
  <c r="AH28" i="52"/>
  <c r="AD54" i="52"/>
  <c r="AD59" i="52"/>
  <c r="E39" i="71"/>
  <c r="E37" i="61"/>
  <c r="E41" i="71"/>
  <c r="E41" i="61"/>
  <c r="AC66" i="52"/>
  <c r="AG13" i="52"/>
  <c r="AE63" i="52"/>
  <c r="AE64" i="52" s="1"/>
  <c r="AE66" i="52" s="1"/>
  <c r="AD68" i="52"/>
  <c r="AC69" i="52"/>
  <c r="E37" i="71"/>
  <c r="E39" i="61"/>
  <c r="AF63" i="52"/>
  <c r="AF64" i="52" s="1"/>
  <c r="AF66" i="52" s="1"/>
  <c r="AI13" i="52"/>
  <c r="AH12" i="52" l="1"/>
  <c r="AJ13" i="52"/>
  <c r="AJ28" i="52" s="1"/>
  <c r="AI50" i="52"/>
  <c r="AI28" i="52"/>
  <c r="AI51" i="52"/>
  <c r="AD62" i="52"/>
  <c r="AD60" i="52"/>
  <c r="AJ10" i="52"/>
  <c r="AJ8" i="52" s="1"/>
  <c r="AI4" i="52"/>
  <c r="AK22" i="52" s="1"/>
  <c r="AK21" i="52" s="1"/>
  <c r="AK16" i="52"/>
  <c r="AH40" i="52"/>
  <c r="AH29" i="52" s="1"/>
  <c r="AH53" i="52" s="1"/>
  <c r="AG50" i="52"/>
  <c r="AG28" i="52"/>
  <c r="AG51" i="52"/>
  <c r="AG12" i="52"/>
  <c r="AD69" i="52"/>
  <c r="AE68" i="52"/>
  <c r="AJ50" i="52" l="1"/>
  <c r="AJ51" i="52"/>
  <c r="AK13" i="52"/>
  <c r="AK28" i="52" s="1"/>
  <c r="AG40" i="52"/>
  <c r="AD63" i="52"/>
  <c r="AI12" i="52"/>
  <c r="AH59" i="52"/>
  <c r="AH54" i="52"/>
  <c r="AK10" i="52"/>
  <c r="AK8" i="52" s="1"/>
  <c r="AJ4" i="52"/>
  <c r="AL16" i="52"/>
  <c r="AF68" i="52"/>
  <c r="AE69" i="52"/>
  <c r="AI40" i="52"/>
  <c r="AI29" i="52" s="1"/>
  <c r="AI53" i="52" s="1"/>
  <c r="AK51" i="52" l="1"/>
  <c r="AK50" i="52"/>
  <c r="AJ40" i="52"/>
  <c r="AJ29" i="52" s="1"/>
  <c r="AJ53" i="52" s="1"/>
  <c r="AJ54" i="52" s="1"/>
  <c r="AL10" i="52"/>
  <c r="AK4" i="52"/>
  <c r="AM16" i="52"/>
  <c r="AL8" i="52"/>
  <c r="AD64" i="52"/>
  <c r="AL22" i="52"/>
  <c r="AL21" i="52" s="1"/>
  <c r="AL13" i="52" s="1"/>
  <c r="AJ12" i="52"/>
  <c r="AG29" i="52"/>
  <c r="AG53" i="52" s="1"/>
  <c r="AG68" i="52" s="1"/>
  <c r="AH60" i="52"/>
  <c r="AH62" i="52"/>
  <c r="AI54" i="52"/>
  <c r="AI59" i="52"/>
  <c r="AF69" i="52"/>
  <c r="AK40" i="52" l="1"/>
  <c r="AK29" i="52" s="1"/>
  <c r="AK53" i="52" s="1"/>
  <c r="AJ59" i="52"/>
  <c r="AJ62" i="52" s="1"/>
  <c r="AL50" i="52"/>
  <c r="AL51" i="52"/>
  <c r="AL28" i="52"/>
  <c r="AK59" i="52"/>
  <c r="AK54" i="52"/>
  <c r="AH63" i="52"/>
  <c r="AH64" i="52" s="1"/>
  <c r="AH66" i="52" s="1"/>
  <c r="AM22" i="52"/>
  <c r="AM21" i="52" s="1"/>
  <c r="AM13" i="52" s="1"/>
  <c r="AK12" i="52"/>
  <c r="AI60" i="52"/>
  <c r="AI62" i="52"/>
  <c r="AM10" i="52"/>
  <c r="AM8" i="52" s="1"/>
  <c r="AL4" i="52"/>
  <c r="AN22" i="52" s="1"/>
  <c r="AN16" i="52"/>
  <c r="AG69" i="52"/>
  <c r="AH68" i="52"/>
  <c r="AD66" i="52"/>
  <c r="AG54" i="52"/>
  <c r="AG59" i="52"/>
  <c r="AJ60" i="52" l="1"/>
  <c r="AM28" i="52"/>
  <c r="AM50" i="52"/>
  <c r="AM51" i="52"/>
  <c r="AH69" i="52"/>
  <c r="AI68" i="52"/>
  <c r="AJ63" i="52"/>
  <c r="AJ64" i="52" s="1"/>
  <c r="AJ66" i="52" s="1"/>
  <c r="AO16" i="52"/>
  <c r="AK60" i="52"/>
  <c r="AK62" i="52"/>
  <c r="AG60" i="52"/>
  <c r="AG62" i="52"/>
  <c r="AN10" i="52"/>
  <c r="AO10" i="52" s="1"/>
  <c r="AO11" i="52" s="1"/>
  <c r="AM4" i="52"/>
  <c r="AP22" i="52" s="1"/>
  <c r="AN21" i="52"/>
  <c r="AO21" i="52" s="1"/>
  <c r="AO22" i="52"/>
  <c r="AI63" i="52"/>
  <c r="AI64" i="52" s="1"/>
  <c r="AI66" i="52" s="1"/>
  <c r="AL12" i="52"/>
  <c r="AL40" i="52"/>
  <c r="AN8" i="52" l="1"/>
  <c r="AP10" i="52" s="1"/>
  <c r="AP8" i="52" s="1"/>
  <c r="AM40" i="52"/>
  <c r="AM29" i="52" s="1"/>
  <c r="AM53" i="52" s="1"/>
  <c r="AN13" i="52"/>
  <c r="AQ16" i="52"/>
  <c r="AP16" i="52"/>
  <c r="AO8" i="52"/>
  <c r="AI69" i="52"/>
  <c r="AJ68" i="52"/>
  <c r="AK63" i="52"/>
  <c r="AK64" i="52" s="1"/>
  <c r="AK66" i="52" s="1"/>
  <c r="AP21" i="52"/>
  <c r="AG63" i="52"/>
  <c r="AL29" i="52"/>
  <c r="AL53" i="52" s="1"/>
  <c r="AM12" i="52"/>
  <c r="AN4" i="52" l="1"/>
  <c r="AM54" i="52"/>
  <c r="AM59" i="52"/>
  <c r="AJ69" i="52"/>
  <c r="AK68" i="52"/>
  <c r="AL54" i="52"/>
  <c r="AL59" i="52"/>
  <c r="AQ10" i="52"/>
  <c r="AQ8" i="52" s="1"/>
  <c r="AP4" i="52"/>
  <c r="AR16" i="52"/>
  <c r="AP13" i="52"/>
  <c r="AG64" i="52"/>
  <c r="AN50" i="52"/>
  <c r="AO50" i="52" s="1"/>
  <c r="AN28" i="52"/>
  <c r="AN51" i="52"/>
  <c r="AO51" i="52" s="1"/>
  <c r="AO13" i="52"/>
  <c r="AQ22" i="52" l="1"/>
  <c r="AO40" i="52"/>
  <c r="AN12" i="52"/>
  <c r="AO12" i="52" s="1"/>
  <c r="F7" i="61" s="1"/>
  <c r="AO4" i="52"/>
  <c r="F6" i="61" s="1"/>
  <c r="AQ4" i="52"/>
  <c r="AS22" i="52" s="1"/>
  <c r="AS21" i="52" s="1"/>
  <c r="AR10" i="52"/>
  <c r="AR8" i="52" s="1"/>
  <c r="AS16" i="52"/>
  <c r="AK69" i="52"/>
  <c r="AL68" i="52"/>
  <c r="AO28" i="52"/>
  <c r="AQ21" i="52"/>
  <c r="AM60" i="52"/>
  <c r="AM62" i="52"/>
  <c r="AN40" i="52"/>
  <c r="AL62" i="52"/>
  <c r="AL60" i="52"/>
  <c r="AG66" i="52"/>
  <c r="AP12" i="52"/>
  <c r="AP50" i="52"/>
  <c r="AP51" i="52"/>
  <c r="AP28" i="52"/>
  <c r="F9" i="61"/>
  <c r="F9" i="71"/>
  <c r="F26" i="61"/>
  <c r="F26" i="71"/>
  <c r="AR22" i="52"/>
  <c r="AR21" i="52" s="1"/>
  <c r="AR13" i="52" s="1"/>
  <c r="G9" i="71" l="1"/>
  <c r="G11" i="71"/>
  <c r="F6" i="71"/>
  <c r="F7" i="71"/>
  <c r="AR50" i="52"/>
  <c r="AR51" i="52"/>
  <c r="AR28" i="52"/>
  <c r="AP40" i="52"/>
  <c r="AS13" i="52"/>
  <c r="AN29" i="52"/>
  <c r="AN53" i="52" s="1"/>
  <c r="AO29" i="52"/>
  <c r="AL69" i="52"/>
  <c r="AM68" i="52"/>
  <c r="AR4" i="52"/>
  <c r="AS10" i="52"/>
  <c r="AS8" i="52" s="1"/>
  <c r="AT16" i="52"/>
  <c r="AQ13" i="52"/>
  <c r="F13" i="71"/>
  <c r="AL63" i="52"/>
  <c r="AL64" i="52" s="1"/>
  <c r="G11" i="61"/>
  <c r="G9" i="61"/>
  <c r="F13" i="61"/>
  <c r="F25" i="71"/>
  <c r="F25" i="61"/>
  <c r="AM63" i="52"/>
  <c r="AM64" i="52" s="1"/>
  <c r="AM66" i="52" s="1"/>
  <c r="AL66" i="52" l="1"/>
  <c r="AT22" i="52"/>
  <c r="G13" i="61"/>
  <c r="AS4" i="52"/>
  <c r="AU22" i="52" s="1"/>
  <c r="AU21" i="52" s="1"/>
  <c r="AT10" i="52"/>
  <c r="AT8" i="52" s="1"/>
  <c r="AU16" i="52"/>
  <c r="AS50" i="52"/>
  <c r="AS51" i="52"/>
  <c r="AS28" i="52"/>
  <c r="AP29" i="52"/>
  <c r="AP53" i="52" s="1"/>
  <c r="AQ50" i="52"/>
  <c r="AQ51" i="52"/>
  <c r="AQ28" i="52"/>
  <c r="AQ12" i="52"/>
  <c r="AM69" i="52"/>
  <c r="AN68" i="52"/>
  <c r="AR12" i="52"/>
  <c r="AN54" i="52"/>
  <c r="AO54" i="52" s="1"/>
  <c r="AN59" i="52"/>
  <c r="AO53" i="52"/>
  <c r="G13" i="71"/>
  <c r="F15" i="61"/>
  <c r="G25" i="61" s="1"/>
  <c r="F15" i="71"/>
  <c r="F29" i="71" s="1"/>
  <c r="AR40" i="52"/>
  <c r="AR29" i="52" s="1"/>
  <c r="AR53" i="52" s="1"/>
  <c r="AP54" i="52" l="1"/>
  <c r="AP59" i="52"/>
  <c r="F33" i="71"/>
  <c r="G33" i="71" s="1"/>
  <c r="G29" i="71"/>
  <c r="AU13" i="52"/>
  <c r="AQ40" i="52"/>
  <c r="AR54" i="52"/>
  <c r="AR59" i="52"/>
  <c r="AT21" i="52"/>
  <c r="AN69" i="52"/>
  <c r="AO69" i="52" s="1"/>
  <c r="AP68" i="52"/>
  <c r="AS12" i="52"/>
  <c r="G19" i="61"/>
  <c r="G20" i="61"/>
  <c r="G17" i="61"/>
  <c r="G23" i="61"/>
  <c r="G16" i="61"/>
  <c r="G27" i="61"/>
  <c r="G22" i="61"/>
  <c r="G18" i="61"/>
  <c r="G15" i="61"/>
  <c r="G24" i="61"/>
  <c r="G21" i="61"/>
  <c r="G26" i="61"/>
  <c r="AT4" i="52"/>
  <c r="AV22" i="52" s="1"/>
  <c r="AV21" i="52" s="1"/>
  <c r="AU10" i="52"/>
  <c r="AU8" i="52" s="1"/>
  <c r="AV16" i="52"/>
  <c r="F29" i="61"/>
  <c r="AN60" i="52"/>
  <c r="AO60" i="52" s="1"/>
  <c r="AN62" i="52"/>
  <c r="AO59" i="52"/>
  <c r="G18" i="71"/>
  <c r="G22" i="71"/>
  <c r="G20" i="71"/>
  <c r="G21" i="71"/>
  <c r="G23" i="71"/>
  <c r="G16" i="71"/>
  <c r="G27" i="71"/>
  <c r="G15" i="71"/>
  <c r="G24" i="71"/>
  <c r="G17" i="71"/>
  <c r="G19" i="71"/>
  <c r="G26" i="71"/>
  <c r="G25" i="71"/>
  <c r="AS40" i="52"/>
  <c r="AS29" i="52" s="1"/>
  <c r="AS53" i="52" s="1"/>
  <c r="AS59" i="52" l="1"/>
  <c r="AS54" i="52"/>
  <c r="AU4" i="52"/>
  <c r="AW22" i="52" s="1"/>
  <c r="AW21" i="52" s="1"/>
  <c r="AV10" i="52"/>
  <c r="AV8" i="52" s="1"/>
  <c r="AW16" i="52"/>
  <c r="G41" i="71"/>
  <c r="G41" i="61"/>
  <c r="AT13" i="52"/>
  <c r="AP69" i="52"/>
  <c r="AR62" i="52"/>
  <c r="AR60" i="52"/>
  <c r="AN63" i="52"/>
  <c r="AO63" i="52" s="1"/>
  <c r="AO62" i="52"/>
  <c r="AP60" i="52"/>
  <c r="AP62" i="52"/>
  <c r="AV13" i="52"/>
  <c r="AQ29" i="52"/>
  <c r="AQ53" i="52" s="1"/>
  <c r="AU50" i="52"/>
  <c r="AU51" i="52"/>
  <c r="AU28" i="52"/>
  <c r="G29" i="61"/>
  <c r="F33" i="61"/>
  <c r="G33" i="61" s="1"/>
  <c r="AU12" i="52" l="1"/>
  <c r="AV4" i="52"/>
  <c r="AV12" i="52" s="1"/>
  <c r="AW10" i="52"/>
  <c r="AW8" i="52" s="1"/>
  <c r="AX16" i="52"/>
  <c r="AP63" i="52"/>
  <c r="AP64" i="52" s="1"/>
  <c r="AW13" i="52"/>
  <c r="F35" i="71"/>
  <c r="F35" i="61"/>
  <c r="AQ54" i="52"/>
  <c r="AQ59" i="52"/>
  <c r="AQ68" i="52"/>
  <c r="AS62" i="52"/>
  <c r="AS60" i="52"/>
  <c r="AT50" i="52"/>
  <c r="AT51" i="52"/>
  <c r="AT12" i="52"/>
  <c r="AT28" i="52"/>
  <c r="AN64" i="52"/>
  <c r="AU40" i="52"/>
  <c r="AU29" i="52" s="1"/>
  <c r="AU53" i="52" s="1"/>
  <c r="AR63" i="52"/>
  <c r="AR64" i="52" s="1"/>
  <c r="AR66" i="52" s="1"/>
  <c r="AV51" i="52"/>
  <c r="AV50" i="52"/>
  <c r="AV28" i="52"/>
  <c r="AV40" i="52" l="1"/>
  <c r="AV29" i="52" s="1"/>
  <c r="AV53" i="52" s="1"/>
  <c r="AU54" i="52"/>
  <c r="AU59" i="52"/>
  <c r="G35" i="71"/>
  <c r="AT40" i="52"/>
  <c r="AS63" i="52"/>
  <c r="AS64" i="52" s="1"/>
  <c r="AS66" i="52" s="1"/>
  <c r="AQ69" i="52"/>
  <c r="AR68" i="52"/>
  <c r="AW4" i="52"/>
  <c r="AY22" i="52" s="1"/>
  <c r="AY21" i="52" s="1"/>
  <c r="AX10" i="52"/>
  <c r="AX8" i="52" s="1"/>
  <c r="AY16" i="52"/>
  <c r="AW51" i="52"/>
  <c r="AW50" i="52"/>
  <c r="AW28" i="52"/>
  <c r="AP66" i="52"/>
  <c r="AQ60" i="52"/>
  <c r="AQ62" i="52"/>
  <c r="AN66" i="52"/>
  <c r="AO66" i="52" s="1"/>
  <c r="AO64" i="52"/>
  <c r="G35" i="61"/>
  <c r="AX22" i="52"/>
  <c r="AX21" i="52" s="1"/>
  <c r="AX13" i="52" s="1"/>
  <c r="AW40" i="52" l="1"/>
  <c r="AW29" i="52" s="1"/>
  <c r="AW53" i="52" s="1"/>
  <c r="AW12" i="52"/>
  <c r="AX51" i="52"/>
  <c r="AX50" i="52"/>
  <c r="AX28" i="52"/>
  <c r="AT29" i="52"/>
  <c r="AT53" i="52" s="1"/>
  <c r="AY10" i="52"/>
  <c r="AX4" i="52"/>
  <c r="AZ22" i="52" s="1"/>
  <c r="AZ21" i="52" s="1"/>
  <c r="AZ16" i="52"/>
  <c r="AY8" i="52"/>
  <c r="F39" i="61"/>
  <c r="F39" i="71"/>
  <c r="AV59" i="52"/>
  <c r="AV54" i="52"/>
  <c r="AU60" i="52"/>
  <c r="AU62" i="52"/>
  <c r="F37" i="61"/>
  <c r="F37" i="71"/>
  <c r="AY13" i="52"/>
  <c r="AQ63" i="52"/>
  <c r="AR69" i="52"/>
  <c r="AS68" i="52"/>
  <c r="AW59" i="52" l="1"/>
  <c r="AW60" i="52" s="1"/>
  <c r="AW54" i="52"/>
  <c r="AX40" i="52"/>
  <c r="AX29" i="52" s="1"/>
  <c r="AX53" i="52" s="1"/>
  <c r="AX54" i="52" s="1"/>
  <c r="AZ13" i="52"/>
  <c r="AZ50" i="52" s="1"/>
  <c r="AZ10" i="52"/>
  <c r="AZ8" i="52" s="1"/>
  <c r="AY4" i="52"/>
  <c r="BA22" i="52" s="1"/>
  <c r="BA16" i="52"/>
  <c r="G39" i="71"/>
  <c r="G37" i="61"/>
  <c r="G39" i="61"/>
  <c r="AY51" i="52"/>
  <c r="AY50" i="52"/>
  <c r="AY28" i="52"/>
  <c r="AU63" i="52"/>
  <c r="AU64" i="52" s="1"/>
  <c r="AU66" i="52" s="1"/>
  <c r="AS69" i="52"/>
  <c r="AT68" i="52"/>
  <c r="AT54" i="52"/>
  <c r="AT59" i="52"/>
  <c r="AV62" i="52"/>
  <c r="AV60" i="52"/>
  <c r="AQ64" i="52"/>
  <c r="G37" i="71"/>
  <c r="AX12" i="52"/>
  <c r="AW62" i="52" l="1"/>
  <c r="AW63" i="52" s="1"/>
  <c r="AW64" i="52" s="1"/>
  <c r="AW66" i="52" s="1"/>
  <c r="AZ28" i="52"/>
  <c r="AX59" i="52"/>
  <c r="AX60" i="52" s="1"/>
  <c r="AY12" i="52"/>
  <c r="AZ51" i="52"/>
  <c r="AZ40" i="52" s="1"/>
  <c r="AZ29" i="52" s="1"/>
  <c r="BA10" i="52"/>
  <c r="BB10" i="52" s="1"/>
  <c r="BB11" i="52" s="1"/>
  <c r="AZ4" i="52"/>
  <c r="AY40" i="52"/>
  <c r="BB16" i="52"/>
  <c r="AT62" i="52"/>
  <c r="AT60" i="52"/>
  <c r="BA21" i="52"/>
  <c r="BB21" i="52" s="1"/>
  <c r="BB22" i="52"/>
  <c r="AV63" i="52"/>
  <c r="AV64" i="52" s="1"/>
  <c r="AV66" i="52" s="1"/>
  <c r="AQ66" i="52"/>
  <c r="AU68" i="52"/>
  <c r="AT69" i="52"/>
  <c r="BA8" i="52" l="1"/>
  <c r="AZ53" i="52"/>
  <c r="AZ54" i="52" s="1"/>
  <c r="AX62" i="52"/>
  <c r="AX63" i="52" s="1"/>
  <c r="AX64" i="52" s="1"/>
  <c r="AX66" i="52" s="1"/>
  <c r="BA13" i="52"/>
  <c r="BA51" i="52" s="1"/>
  <c r="BB51" i="52" s="1"/>
  <c r="AT63" i="52"/>
  <c r="AT64" i="52" s="1"/>
  <c r="AY29" i="52"/>
  <c r="AY53" i="52" s="1"/>
  <c r="BC10" i="52"/>
  <c r="BC8" i="52" s="1"/>
  <c r="BA4" i="52"/>
  <c r="BC16" i="52"/>
  <c r="BD16" i="52"/>
  <c r="BB8" i="52"/>
  <c r="BC22" i="52"/>
  <c r="AZ12" i="52"/>
  <c r="AU69" i="52"/>
  <c r="AV68" i="52"/>
  <c r="AZ59" i="52" l="1"/>
  <c r="AZ60" i="52" s="1"/>
  <c r="BA28" i="52"/>
  <c r="BB28" i="52" s="1"/>
  <c r="BA12" i="52"/>
  <c r="BB12" i="52" s="1"/>
  <c r="BA50" i="52"/>
  <c r="BB50" i="52" s="1"/>
  <c r="BB40" i="52" s="1"/>
  <c r="BB13" i="52"/>
  <c r="H9" i="61" s="1"/>
  <c r="H26" i="61"/>
  <c r="H26" i="71"/>
  <c r="AY54" i="52"/>
  <c r="AY59" i="52"/>
  <c r="BC21" i="52"/>
  <c r="BC13" i="52" s="1"/>
  <c r="BD10" i="52"/>
  <c r="BD8" i="52" s="1"/>
  <c r="BC4" i="52"/>
  <c r="BE16" i="52"/>
  <c r="AT66" i="52"/>
  <c r="BD22" i="52"/>
  <c r="BD21" i="52" s="1"/>
  <c r="BD13" i="52" s="1"/>
  <c r="BB4" i="52"/>
  <c r="AV69" i="52"/>
  <c r="AW68" i="52"/>
  <c r="BA40" i="52" l="1"/>
  <c r="AZ62" i="52"/>
  <c r="AZ63" i="52" s="1"/>
  <c r="AZ64" i="52" s="1"/>
  <c r="AZ66" i="52" s="1"/>
  <c r="H9" i="71"/>
  <c r="BD4" i="52"/>
  <c r="BF22" i="52" s="1"/>
  <c r="BF21" i="52" s="1"/>
  <c r="BE10" i="52"/>
  <c r="BE8" i="52" s="1"/>
  <c r="BF16" i="52"/>
  <c r="BE22" i="52"/>
  <c r="BE21" i="52" s="1"/>
  <c r="BE13" i="52" s="1"/>
  <c r="H25" i="61"/>
  <c r="H25" i="71"/>
  <c r="AW69" i="52"/>
  <c r="AX68" i="52"/>
  <c r="BD28" i="52"/>
  <c r="BD51" i="52"/>
  <c r="BD50" i="52"/>
  <c r="BC12" i="52"/>
  <c r="BC28" i="52"/>
  <c r="BC50" i="52"/>
  <c r="BC51" i="52"/>
  <c r="I9" i="61"/>
  <c r="I11" i="61"/>
  <c r="H13" i="61"/>
  <c r="H7" i="71"/>
  <c r="H7" i="61"/>
  <c r="H6" i="71"/>
  <c r="H6" i="61"/>
  <c r="BA29" i="52"/>
  <c r="BA53" i="52" s="1"/>
  <c r="BB29" i="52"/>
  <c r="AY62" i="52"/>
  <c r="AY60" i="52"/>
  <c r="H13" i="71" l="1"/>
  <c r="I9" i="71"/>
  <c r="I11" i="71"/>
  <c r="BD12" i="52"/>
  <c r="BF13" i="52"/>
  <c r="BF50" i="52" s="1"/>
  <c r="BD40" i="52"/>
  <c r="BD29" i="52" s="1"/>
  <c r="BD53" i="52" s="1"/>
  <c r="BC40" i="52"/>
  <c r="AY63" i="52"/>
  <c r="AY64" i="52" s="1"/>
  <c r="BA54" i="52"/>
  <c r="BB54" i="52" s="1"/>
  <c r="BA59" i="52"/>
  <c r="BB53" i="52"/>
  <c r="H15" i="61"/>
  <c r="I25" i="61" s="1"/>
  <c r="I13" i="61"/>
  <c r="BF10" i="52"/>
  <c r="BF8" i="52" s="1"/>
  <c r="BE4" i="52"/>
  <c r="BG16" i="52"/>
  <c r="BE50" i="52"/>
  <c r="BE51" i="52"/>
  <c r="BE28" i="52"/>
  <c r="H15" i="71"/>
  <c r="H29" i="71" s="1"/>
  <c r="AX69" i="52"/>
  <c r="AY68" i="52"/>
  <c r="I13" i="71"/>
  <c r="BF51" i="52" l="1"/>
  <c r="BF40" i="52" s="1"/>
  <c r="BF29" i="52" s="1"/>
  <c r="BF28" i="52"/>
  <c r="H29" i="61"/>
  <c r="I29" i="61" s="1"/>
  <c r="I25" i="71"/>
  <c r="H33" i="71"/>
  <c r="I33" i="71" s="1"/>
  <c r="I29" i="71"/>
  <c r="AY66" i="52"/>
  <c r="BG10" i="52"/>
  <c r="BG8" i="52" s="1"/>
  <c r="BF4" i="52"/>
  <c r="BH16" i="52"/>
  <c r="AY69" i="52"/>
  <c r="AZ68" i="52"/>
  <c r="BA62" i="52"/>
  <c r="BA60" i="52"/>
  <c r="BB60" i="52" s="1"/>
  <c r="BB59" i="52"/>
  <c r="BD59" i="52"/>
  <c r="BD54" i="52"/>
  <c r="I22" i="71"/>
  <c r="I20" i="71"/>
  <c r="I21" i="71"/>
  <c r="I24" i="71"/>
  <c r="I19" i="71"/>
  <c r="I17" i="71"/>
  <c r="I27" i="71"/>
  <c r="I15" i="71"/>
  <c r="I23" i="71"/>
  <c r="I16" i="71"/>
  <c r="I18" i="71"/>
  <c r="I26" i="71"/>
  <c r="I23" i="61"/>
  <c r="I19" i="61"/>
  <c r="I16" i="61"/>
  <c r="I15" i="61"/>
  <c r="I27" i="61"/>
  <c r="I24" i="61"/>
  <c r="I17" i="61"/>
  <c r="I20" i="61"/>
  <c r="I18" i="61"/>
  <c r="I21" i="61"/>
  <c r="I22" i="61"/>
  <c r="I26" i="61"/>
  <c r="BC29" i="52"/>
  <c r="BC53" i="52" s="1"/>
  <c r="BG22" i="52"/>
  <c r="BE12" i="52"/>
  <c r="BE40" i="52"/>
  <c r="BE29" i="52" s="1"/>
  <c r="BE53" i="52" s="1"/>
  <c r="BF53" i="52" l="1"/>
  <c r="BF54" i="52" s="1"/>
  <c r="H33" i="61"/>
  <c r="I33" i="61" s="1"/>
  <c r="BE54" i="52"/>
  <c r="BE59" i="52"/>
  <c r="BG4" i="52"/>
  <c r="BI22" i="52" s="1"/>
  <c r="BI21" i="52" s="1"/>
  <c r="BH10" i="52"/>
  <c r="BH8" i="52" s="1"/>
  <c r="BI16" i="52"/>
  <c r="BA63" i="52"/>
  <c r="BB63" i="52" s="1"/>
  <c r="BB62" i="52"/>
  <c r="BC54" i="52"/>
  <c r="BC59" i="52"/>
  <c r="BA68" i="52"/>
  <c r="AZ69" i="52"/>
  <c r="BH22" i="52"/>
  <c r="BH21" i="52" s="1"/>
  <c r="BH13" i="52" s="1"/>
  <c r="BF12" i="52"/>
  <c r="BD60" i="52"/>
  <c r="BD62" i="52"/>
  <c r="BG21" i="52"/>
  <c r="BF59" i="52" l="1"/>
  <c r="BF62" i="52" s="1"/>
  <c r="BF63" i="52" s="1"/>
  <c r="BF64" i="52" s="1"/>
  <c r="BF66" i="52" s="1"/>
  <c r="BH51" i="52"/>
  <c r="BH50" i="52"/>
  <c r="BH28" i="52"/>
  <c r="BD63" i="52"/>
  <c r="BD64" i="52" s="1"/>
  <c r="BD66" i="52" s="1"/>
  <c r="BA69" i="52"/>
  <c r="BB69" i="52" s="1"/>
  <c r="BC68" i="52"/>
  <c r="BC60" i="52"/>
  <c r="BC62" i="52"/>
  <c r="BA64" i="52"/>
  <c r="BH4" i="52"/>
  <c r="BJ22" i="52" s="1"/>
  <c r="BJ21" i="52" s="1"/>
  <c r="BI10" i="52"/>
  <c r="BI8" i="52" s="1"/>
  <c r="BJ16" i="52"/>
  <c r="BE60" i="52"/>
  <c r="BE62" i="52"/>
  <c r="H35" i="61"/>
  <c r="H35" i="71"/>
  <c r="BI13" i="52"/>
  <c r="BG13" i="52"/>
  <c r="BF60" i="52" l="1"/>
  <c r="BH40" i="52"/>
  <c r="BH29" i="52" s="1"/>
  <c r="BH53" i="52" s="1"/>
  <c r="BJ13" i="52"/>
  <c r="BJ50" i="52" s="1"/>
  <c r="BI4" i="52"/>
  <c r="BK22" i="52" s="1"/>
  <c r="BK21" i="52" s="1"/>
  <c r="BJ10" i="52"/>
  <c r="BJ8" i="52" s="1"/>
  <c r="BK16" i="52"/>
  <c r="I35" i="61"/>
  <c r="BC69" i="52"/>
  <c r="BD68" i="52"/>
  <c r="BC63" i="52"/>
  <c r="BI50" i="52"/>
  <c r="BI51" i="52"/>
  <c r="BI28" i="52"/>
  <c r="BH12" i="52"/>
  <c r="BE63" i="52"/>
  <c r="BE64" i="52" s="1"/>
  <c r="BE66" i="52" s="1"/>
  <c r="I41" i="71"/>
  <c r="I41" i="61"/>
  <c r="BG50" i="52"/>
  <c r="BG51" i="52"/>
  <c r="BG12" i="52"/>
  <c r="BG28" i="52"/>
  <c r="I35" i="71"/>
  <c r="BA66" i="52"/>
  <c r="BB66" i="52" s="1"/>
  <c r="BB64" i="52"/>
  <c r="BJ28" i="52" l="1"/>
  <c r="BK13" i="52"/>
  <c r="BK51" i="52" s="1"/>
  <c r="BI12" i="52"/>
  <c r="BH59" i="52"/>
  <c r="BH60" i="52" s="1"/>
  <c r="BH54" i="52"/>
  <c r="BJ51" i="52"/>
  <c r="BJ40" i="52" s="1"/>
  <c r="BJ29" i="52" s="1"/>
  <c r="BG40" i="52"/>
  <c r="BE68" i="52"/>
  <c r="BD69" i="52"/>
  <c r="BJ4" i="52"/>
  <c r="BL16" i="52"/>
  <c r="BK10" i="52"/>
  <c r="BK8" i="52" s="1"/>
  <c r="H37" i="61"/>
  <c r="H37" i="71"/>
  <c r="BI40" i="52"/>
  <c r="BI29" i="52" s="1"/>
  <c r="BI53" i="52" s="1"/>
  <c r="H39" i="71"/>
  <c r="H39" i="61"/>
  <c r="BC64" i="52"/>
  <c r="BJ53" i="52" l="1"/>
  <c r="BJ59" i="52" s="1"/>
  <c r="BK28" i="52"/>
  <c r="BK50" i="52"/>
  <c r="BK40" i="52" s="1"/>
  <c r="BK29" i="52" s="1"/>
  <c r="BH62" i="52"/>
  <c r="BH63" i="52" s="1"/>
  <c r="BH64" i="52" s="1"/>
  <c r="BH66" i="52" s="1"/>
  <c r="BI54" i="52"/>
  <c r="BI59" i="52"/>
  <c r="I39" i="71"/>
  <c r="BE69" i="52"/>
  <c r="BF68" i="52"/>
  <c r="BC66" i="52"/>
  <c r="I37" i="71"/>
  <c r="I37" i="61"/>
  <c r="BL10" i="52"/>
  <c r="BL8" i="52" s="1"/>
  <c r="BK4" i="52"/>
  <c r="BM16" i="52"/>
  <c r="BG29" i="52"/>
  <c r="BG53" i="52" s="1"/>
  <c r="BL22" i="52"/>
  <c r="BL21" i="52" s="1"/>
  <c r="BL13" i="52" s="1"/>
  <c r="BJ12" i="52"/>
  <c r="I39" i="61"/>
  <c r="BJ54" i="52" l="1"/>
  <c r="BK53" i="52"/>
  <c r="BK54" i="52" s="1"/>
  <c r="BL28" i="52"/>
  <c r="BL50" i="52"/>
  <c r="BL51" i="52"/>
  <c r="BL4" i="52"/>
  <c r="BN22" i="52" s="1"/>
  <c r="BM10" i="52"/>
  <c r="BN16" i="52"/>
  <c r="BM8" i="52"/>
  <c r="BM22" i="52"/>
  <c r="BM21" i="52" s="1"/>
  <c r="BM13" i="52" s="1"/>
  <c r="BK12" i="52"/>
  <c r="BF69" i="52"/>
  <c r="BG68" i="52"/>
  <c r="BJ60" i="52"/>
  <c r="BJ62" i="52"/>
  <c r="BI62" i="52"/>
  <c r="BI60" i="52"/>
  <c r="BG59" i="52"/>
  <c r="BG54" i="52"/>
  <c r="BK59" i="52" l="1"/>
  <c r="BK62" i="52" s="1"/>
  <c r="BI63" i="52"/>
  <c r="BI64" i="52" s="1"/>
  <c r="BI66" i="52" s="1"/>
  <c r="BL12" i="52"/>
  <c r="BG60" i="52"/>
  <c r="BG62" i="52"/>
  <c r="BO16" i="52"/>
  <c r="BJ63" i="52"/>
  <c r="BJ64" i="52" s="1"/>
  <c r="BJ66" i="52" s="1"/>
  <c r="BL40" i="52"/>
  <c r="BM4" i="52"/>
  <c r="BP22" i="52" s="1"/>
  <c r="BN10" i="52"/>
  <c r="BO10" i="52" s="1"/>
  <c r="BO11" i="52" s="1"/>
  <c r="BN21" i="52"/>
  <c r="BO21" i="52" s="1"/>
  <c r="BO22" i="52"/>
  <c r="BG69" i="52"/>
  <c r="BH68" i="52"/>
  <c r="BM51" i="52"/>
  <c r="BM50" i="52"/>
  <c r="BM28" i="52"/>
  <c r="BK60" i="52" l="1"/>
  <c r="BN8" i="52"/>
  <c r="BO8" i="52" s="1"/>
  <c r="BN13" i="52"/>
  <c r="BN50" i="52" s="1"/>
  <c r="BO50" i="52" s="1"/>
  <c r="BM40" i="52"/>
  <c r="BM29" i="52" s="1"/>
  <c r="BM53" i="52" s="1"/>
  <c r="BK63" i="52"/>
  <c r="BK64" i="52" s="1"/>
  <c r="BK66" i="52" s="1"/>
  <c r="BP21" i="52"/>
  <c r="BH69" i="52"/>
  <c r="BI68" i="52"/>
  <c r="BP10" i="52"/>
  <c r="BP8" i="52" s="1"/>
  <c r="BN4" i="52"/>
  <c r="F21" i="73" s="1"/>
  <c r="BP16" i="52"/>
  <c r="BQ16" i="52"/>
  <c r="BG63" i="52"/>
  <c r="BG64" i="52" s="1"/>
  <c r="BL29" i="52"/>
  <c r="BL53" i="52" s="1"/>
  <c r="BM12" i="52"/>
  <c r="BN12" i="52" l="1"/>
  <c r="BO12" i="52" s="1"/>
  <c r="J7" i="61" s="1"/>
  <c r="BO13" i="52"/>
  <c r="J9" i="71" s="1"/>
  <c r="BN51" i="52"/>
  <c r="BN28" i="52"/>
  <c r="BO28" i="52" s="1"/>
  <c r="BP4" i="52"/>
  <c r="BQ10" i="52"/>
  <c r="BQ8" i="52" s="1"/>
  <c r="BR16" i="52"/>
  <c r="BG66" i="52"/>
  <c r="BL54" i="52"/>
  <c r="BL59" i="52"/>
  <c r="BM54" i="52"/>
  <c r="BM59" i="52"/>
  <c r="J7" i="71"/>
  <c r="BP13" i="52"/>
  <c r="BI69" i="52"/>
  <c r="BJ68" i="52"/>
  <c r="BQ22" i="52"/>
  <c r="BO4" i="52"/>
  <c r="BO51" i="52" l="1"/>
  <c r="K9" i="71"/>
  <c r="K11" i="71"/>
  <c r="J9" i="61"/>
  <c r="K11" i="61" s="1"/>
  <c r="BN40" i="52"/>
  <c r="BN29" i="52" s="1"/>
  <c r="BN53" i="52" s="1"/>
  <c r="BP51" i="52"/>
  <c r="BP12" i="52"/>
  <c r="BP50" i="52"/>
  <c r="BP28" i="52"/>
  <c r="J25" i="71"/>
  <c r="J25" i="61"/>
  <c r="BL62" i="52"/>
  <c r="BL60" i="52"/>
  <c r="J6" i="71"/>
  <c r="J6" i="61"/>
  <c r="BQ21" i="52"/>
  <c r="BM60" i="52"/>
  <c r="BM62" i="52"/>
  <c r="BJ69" i="52"/>
  <c r="BK68" i="52"/>
  <c r="BQ4" i="52"/>
  <c r="BS22" i="52" s="1"/>
  <c r="BS21" i="52" s="1"/>
  <c r="BR10" i="52"/>
  <c r="BR8" i="52" s="1"/>
  <c r="BS16" i="52"/>
  <c r="J13" i="71"/>
  <c r="BR22" i="52"/>
  <c r="BR21" i="52" s="1"/>
  <c r="BR13" i="52" s="1"/>
  <c r="J13" i="61" l="1"/>
  <c r="K13" i="61" s="1"/>
  <c r="K9" i="61"/>
  <c r="BO40" i="52"/>
  <c r="BO29" i="52" s="1"/>
  <c r="J26" i="71"/>
  <c r="J26" i="61"/>
  <c r="J15" i="61" s="1"/>
  <c r="J29" i="61" s="1"/>
  <c r="BR51" i="52"/>
  <c r="BR50" i="52"/>
  <c r="BR28" i="52"/>
  <c r="BM63" i="52"/>
  <c r="BM64" i="52" s="1"/>
  <c r="BM66" i="52" s="1"/>
  <c r="BR4" i="52"/>
  <c r="BS10" i="52"/>
  <c r="BS8" i="52" s="1"/>
  <c r="BT16" i="52"/>
  <c r="BS13" i="52"/>
  <c r="BL63" i="52"/>
  <c r="BL64" i="52" s="1"/>
  <c r="BN54" i="52"/>
  <c r="BO54" i="52" s="1"/>
  <c r="BN59" i="52"/>
  <c r="BO53" i="52"/>
  <c r="J15" i="71"/>
  <c r="K25" i="71" s="1"/>
  <c r="BQ13" i="52"/>
  <c r="BK69" i="52"/>
  <c r="BL68" i="52"/>
  <c r="K13" i="71"/>
  <c r="BP40" i="52"/>
  <c r="BR40" i="52" l="1"/>
  <c r="BR29" i="52" s="1"/>
  <c r="BR53" i="52" s="1"/>
  <c r="BL66" i="52"/>
  <c r="BS4" i="52"/>
  <c r="BU22" i="52" s="1"/>
  <c r="BU21" i="52" s="1"/>
  <c r="BT10" i="52"/>
  <c r="BU16" i="52"/>
  <c r="BT8" i="52"/>
  <c r="K29" i="61"/>
  <c r="J33" i="61"/>
  <c r="K33" i="61" s="1"/>
  <c r="BQ50" i="52"/>
  <c r="BQ51" i="52"/>
  <c r="BQ12" i="52"/>
  <c r="BQ28" i="52"/>
  <c r="K25" i="61"/>
  <c r="BL69" i="52"/>
  <c r="BM68" i="52"/>
  <c r="BT22" i="52"/>
  <c r="K18" i="61"/>
  <c r="K17" i="61"/>
  <c r="K24" i="61"/>
  <c r="K16" i="61"/>
  <c r="K19" i="61"/>
  <c r="K15" i="61"/>
  <c r="K23" i="61"/>
  <c r="K21" i="61"/>
  <c r="K27" i="61"/>
  <c r="K22" i="61"/>
  <c r="K20" i="61"/>
  <c r="K26" i="61"/>
  <c r="BP29" i="52"/>
  <c r="BP53" i="52" s="1"/>
  <c r="K24" i="71"/>
  <c r="K15" i="71"/>
  <c r="K19" i="71"/>
  <c r="K27" i="71"/>
  <c r="K21" i="71"/>
  <c r="K22" i="71"/>
  <c r="K17" i="71"/>
  <c r="K18" i="71"/>
  <c r="K23" i="71"/>
  <c r="K20" i="71"/>
  <c r="K16" i="71"/>
  <c r="K26" i="71"/>
  <c r="BN62" i="52"/>
  <c r="BN60" i="52"/>
  <c r="BO60" i="52" s="1"/>
  <c r="BO59" i="52"/>
  <c r="BS50" i="52"/>
  <c r="BS51" i="52"/>
  <c r="BS28" i="52"/>
  <c r="BR12" i="52"/>
  <c r="J29" i="71"/>
  <c r="BR59" i="52" l="1"/>
  <c r="BR62" i="52" s="1"/>
  <c r="BR54" i="52"/>
  <c r="BS12" i="52"/>
  <c r="BP54" i="52"/>
  <c r="BP59" i="52"/>
  <c r="BU10" i="52"/>
  <c r="BU8" i="52" s="1"/>
  <c r="BT4" i="52"/>
  <c r="BV16" i="52"/>
  <c r="BU13" i="52"/>
  <c r="BQ40" i="52"/>
  <c r="BM69" i="52"/>
  <c r="BN68" i="52"/>
  <c r="J33" i="71"/>
  <c r="K33" i="71" s="1"/>
  <c r="K29" i="71"/>
  <c r="BT21" i="52"/>
  <c r="BS40" i="52"/>
  <c r="BS29" i="52" s="1"/>
  <c r="BS53" i="52" s="1"/>
  <c r="BN63" i="52"/>
  <c r="BO63" i="52" s="1"/>
  <c r="BO62" i="52"/>
  <c r="BR60" i="52" l="1"/>
  <c r="BS54" i="52"/>
  <c r="BS59" i="52"/>
  <c r="BQ29" i="52"/>
  <c r="BQ53" i="52" s="1"/>
  <c r="BP60" i="52"/>
  <c r="BP62" i="52"/>
  <c r="BT13" i="52"/>
  <c r="BV10" i="52"/>
  <c r="BV8" i="52" s="1"/>
  <c r="BU4" i="52"/>
  <c r="BW22" i="52" s="1"/>
  <c r="BW21" i="52" s="1"/>
  <c r="BW16" i="52"/>
  <c r="BR63" i="52"/>
  <c r="BR64" i="52" s="1"/>
  <c r="BR66" i="52" s="1"/>
  <c r="J35" i="71"/>
  <c r="J35" i="61"/>
  <c r="BU51" i="52"/>
  <c r="BU50" i="52"/>
  <c r="BU28" i="52"/>
  <c r="BV22" i="52"/>
  <c r="BN69" i="52"/>
  <c r="BO69" i="52" s="1"/>
  <c r="BP68" i="52"/>
  <c r="BN64" i="52"/>
  <c r="BU40" i="52" l="1"/>
  <c r="BU29" i="52" s="1"/>
  <c r="BU53" i="52" s="1"/>
  <c r="BW10" i="52"/>
  <c r="BW8" i="52" s="1"/>
  <c r="BV4" i="52"/>
  <c r="BX22" i="52" s="1"/>
  <c r="BX21" i="52" s="1"/>
  <c r="BX16" i="52"/>
  <c r="BU12" i="52"/>
  <c r="BW13" i="52"/>
  <c r="K35" i="71"/>
  <c r="BQ54" i="52"/>
  <c r="BQ59" i="52"/>
  <c r="K35" i="61"/>
  <c r="BN66" i="52"/>
  <c r="BO66" i="52" s="1"/>
  <c r="BO64" i="52"/>
  <c r="BP69" i="52"/>
  <c r="BQ68" i="52"/>
  <c r="BS60" i="52"/>
  <c r="BS62" i="52"/>
  <c r="BT50" i="52"/>
  <c r="BT51" i="52"/>
  <c r="BT12" i="52"/>
  <c r="BT28" i="52"/>
  <c r="BP63" i="52"/>
  <c r="BP64" i="52" s="1"/>
  <c r="K41" i="61"/>
  <c r="K41" i="71"/>
  <c r="BV21" i="52"/>
  <c r="BU54" i="52" l="1"/>
  <c r="BU59" i="52"/>
  <c r="BU60" i="52" s="1"/>
  <c r="BX13" i="52"/>
  <c r="BX28" i="52" s="1"/>
  <c r="BP66" i="52"/>
  <c r="BW4" i="52"/>
  <c r="BW12" i="52" s="1"/>
  <c r="BX10" i="52"/>
  <c r="BX8" i="52" s="1"/>
  <c r="BY16" i="52"/>
  <c r="BT40" i="52"/>
  <c r="BQ69" i="52"/>
  <c r="BR68" i="52"/>
  <c r="BS63" i="52"/>
  <c r="BS64" i="52" s="1"/>
  <c r="BS66" i="52" s="1"/>
  <c r="BW50" i="52"/>
  <c r="BW51" i="52"/>
  <c r="BW28" i="52"/>
  <c r="J37" i="61"/>
  <c r="J37" i="71"/>
  <c r="J39" i="71"/>
  <c r="J39" i="61"/>
  <c r="BV13" i="52"/>
  <c r="BQ62" i="52"/>
  <c r="BQ60" i="52"/>
  <c r="BU62" i="52" l="1"/>
  <c r="BU63" i="52" s="1"/>
  <c r="BU64" i="52" s="1"/>
  <c r="BU66" i="52" s="1"/>
  <c r="BX51" i="52"/>
  <c r="BX50" i="52"/>
  <c r="BW40" i="52"/>
  <c r="BW29" i="52" s="1"/>
  <c r="BW53" i="52" s="1"/>
  <c r="BT29" i="52"/>
  <c r="BT53" i="52" s="1"/>
  <c r="BY10" i="52"/>
  <c r="BY8" i="52" s="1"/>
  <c r="BX4" i="52"/>
  <c r="BZ16" i="52"/>
  <c r="K39" i="71"/>
  <c r="BQ63" i="52"/>
  <c r="BQ64" i="52" s="1"/>
  <c r="K39" i="61"/>
  <c r="K37" i="71"/>
  <c r="BR69" i="52"/>
  <c r="BS68" i="52"/>
  <c r="BV28" i="52"/>
  <c r="BV12" i="52"/>
  <c r="BV51" i="52"/>
  <c r="BV50" i="52"/>
  <c r="BY22" i="52"/>
  <c r="BY21" i="52" s="1"/>
  <c r="BY13" i="52" s="1"/>
  <c r="K37" i="61"/>
  <c r="BX40" i="52" l="1"/>
  <c r="BX29" i="52" s="1"/>
  <c r="BX53" i="52" s="1"/>
  <c r="BX59" i="52" s="1"/>
  <c r="BW54" i="52"/>
  <c r="BW59" i="52"/>
  <c r="BW60" i="52" s="1"/>
  <c r="BQ66" i="52"/>
  <c r="BY50" i="52"/>
  <c r="BY28" i="52"/>
  <c r="BY51" i="52"/>
  <c r="BT54" i="52"/>
  <c r="BT59" i="52"/>
  <c r="BZ22" i="52"/>
  <c r="BZ21" i="52" s="1"/>
  <c r="BZ13" i="52" s="1"/>
  <c r="BX12" i="52"/>
  <c r="BV40" i="52"/>
  <c r="BY4" i="52"/>
  <c r="CA22" i="52" s="1"/>
  <c r="BZ10" i="52"/>
  <c r="BZ8" i="52" s="1"/>
  <c r="CA16" i="52"/>
  <c r="BS69" i="52"/>
  <c r="BT68" i="52"/>
  <c r="BX54" i="52" l="1"/>
  <c r="BW62" i="52"/>
  <c r="BW63" i="52" s="1"/>
  <c r="BW64" i="52" s="1"/>
  <c r="BW66" i="52" s="1"/>
  <c r="BZ28" i="52"/>
  <c r="BZ50" i="52"/>
  <c r="BZ51" i="52"/>
  <c r="BY12" i="52"/>
  <c r="BT62" i="52"/>
  <c r="BT60" i="52"/>
  <c r="BY40" i="52"/>
  <c r="BY29" i="52" s="1"/>
  <c r="BY53" i="52" s="1"/>
  <c r="BT69" i="52"/>
  <c r="BU68" i="52"/>
  <c r="CB16" i="52"/>
  <c r="CA21" i="52"/>
  <c r="CB21" i="52" s="1"/>
  <c r="CB22" i="52"/>
  <c r="BX62" i="52"/>
  <c r="BX60" i="52"/>
  <c r="BV29" i="52"/>
  <c r="BV53" i="52" s="1"/>
  <c r="CA10" i="52"/>
  <c r="CB10" i="52" s="1"/>
  <c r="CB11" i="52" s="1"/>
  <c r="BZ4" i="52"/>
  <c r="CC22" i="52" s="1"/>
  <c r="BZ12" i="52" l="1"/>
  <c r="BY54" i="52"/>
  <c r="BY59" i="52"/>
  <c r="CA13" i="52"/>
  <c r="BT63" i="52"/>
  <c r="BZ40" i="52"/>
  <c r="BU69" i="52"/>
  <c r="BV68" i="52"/>
  <c r="BV59" i="52"/>
  <c r="BV54" i="52"/>
  <c r="BX63" i="52"/>
  <c r="BX64" i="52" s="1"/>
  <c r="BX66" i="52" s="1"/>
  <c r="CA8" i="52"/>
  <c r="CC21" i="52"/>
  <c r="BV69" i="52" l="1"/>
  <c r="BW68" i="52"/>
  <c r="BV62" i="52"/>
  <c r="BV60" i="52"/>
  <c r="CC10" i="52"/>
  <c r="CA4" i="52"/>
  <c r="CA12" i="52" s="1"/>
  <c r="CB12" i="52" s="1"/>
  <c r="CD16" i="52"/>
  <c r="CC8" i="52"/>
  <c r="CC16" i="52"/>
  <c r="CB8" i="52"/>
  <c r="BY62" i="52"/>
  <c r="BY60" i="52"/>
  <c r="BZ29" i="52"/>
  <c r="BZ53" i="52" s="1"/>
  <c r="BT64" i="52"/>
  <c r="CA50" i="52"/>
  <c r="CB50" i="52" s="1"/>
  <c r="CA28" i="52"/>
  <c r="CA51" i="52"/>
  <c r="CB51" i="52" s="1"/>
  <c r="CB13" i="52"/>
  <c r="CB40" i="52" l="1"/>
  <c r="L26" i="61"/>
  <c r="L26" i="71"/>
  <c r="CB28" i="52"/>
  <c r="BT66" i="52"/>
  <c r="CC13" i="52"/>
  <c r="BZ59" i="52"/>
  <c r="BZ54" i="52"/>
  <c r="L7" i="71"/>
  <c r="L7" i="61"/>
  <c r="CC4" i="52"/>
  <c r="CD10" i="52"/>
  <c r="CD8" i="52" s="1"/>
  <c r="CE16" i="52"/>
  <c r="CD22" i="52"/>
  <c r="CB4" i="52"/>
  <c r="BV63" i="52"/>
  <c r="BV64" i="52" s="1"/>
  <c r="BW69" i="52"/>
  <c r="BX68" i="52"/>
  <c r="L9" i="61"/>
  <c r="L9" i="71"/>
  <c r="CA40" i="52"/>
  <c r="BY63" i="52"/>
  <c r="BY64" i="52" s="1"/>
  <c r="BY66" i="52" s="1"/>
  <c r="M9" i="71" l="1"/>
  <c r="M11" i="71"/>
  <c r="BV66" i="52"/>
  <c r="L25" i="71"/>
  <c r="L25" i="61"/>
  <c r="BZ62" i="52"/>
  <c r="BZ60" i="52"/>
  <c r="CA29" i="52"/>
  <c r="CA53" i="52" s="1"/>
  <c r="CB29" i="52"/>
  <c r="L13" i="71"/>
  <c r="CC12" i="52"/>
  <c r="CC51" i="52"/>
  <c r="CC50" i="52"/>
  <c r="CC28" i="52"/>
  <c r="M11" i="61"/>
  <c r="M9" i="61"/>
  <c r="L13" i="61"/>
  <c r="CE22" i="52"/>
  <c r="CE21" i="52" s="1"/>
  <c r="CE13" i="52" s="1"/>
  <c r="L6" i="61"/>
  <c r="L6" i="71"/>
  <c r="CD4" i="52"/>
  <c r="CF22" i="52" s="1"/>
  <c r="CF21" i="52" s="1"/>
  <c r="CE10" i="52"/>
  <c r="CE8" i="52" s="1"/>
  <c r="CF16" i="52"/>
  <c r="CD21" i="52"/>
  <c r="BX69" i="52"/>
  <c r="BY68" i="52"/>
  <c r="CE50" i="52" l="1"/>
  <c r="CE51" i="52"/>
  <c r="CE28" i="52"/>
  <c r="CA59" i="52"/>
  <c r="CA54" i="52"/>
  <c r="CB54" i="52" s="1"/>
  <c r="CB53" i="52"/>
  <c r="CE4" i="52"/>
  <c r="CF10" i="52"/>
  <c r="CF8" i="52" s="1"/>
  <c r="CG16" i="52"/>
  <c r="CF13" i="52"/>
  <c r="M13" i="71"/>
  <c r="L15" i="61"/>
  <c r="CD13" i="52"/>
  <c r="CC40" i="52"/>
  <c r="L15" i="71"/>
  <c r="BZ63" i="52"/>
  <c r="BZ64" i="52" s="1"/>
  <c r="BZ68" i="52"/>
  <c r="BY69" i="52"/>
  <c r="M13" i="61"/>
  <c r="BZ66" i="52" l="1"/>
  <c r="M20" i="61"/>
  <c r="M19" i="61"/>
  <c r="M23" i="61"/>
  <c r="M18" i="61"/>
  <c r="M27" i="61"/>
  <c r="M17" i="61"/>
  <c r="M22" i="61"/>
  <c r="M24" i="61"/>
  <c r="M16" i="61"/>
  <c r="M15" i="61"/>
  <c r="M21" i="61"/>
  <c r="M26" i="61"/>
  <c r="CA62" i="52"/>
  <c r="CA60" i="52"/>
  <c r="CB60" i="52" s="1"/>
  <c r="CB59" i="52"/>
  <c r="BZ69" i="52"/>
  <c r="CA68" i="52"/>
  <c r="CG22" i="52"/>
  <c r="M25" i="61"/>
  <c r="CD50" i="52"/>
  <c r="CD51" i="52"/>
  <c r="CD28" i="52"/>
  <c r="CD12" i="52"/>
  <c r="M19" i="71"/>
  <c r="M15" i="71"/>
  <c r="M20" i="71"/>
  <c r="M16" i="71"/>
  <c r="M24" i="71"/>
  <c r="M18" i="71"/>
  <c r="M21" i="71"/>
  <c r="M17" i="71"/>
  <c r="M27" i="71"/>
  <c r="M23" i="71"/>
  <c r="M22" i="71"/>
  <c r="M26" i="71"/>
  <c r="CF4" i="52"/>
  <c r="CH22" i="52" s="1"/>
  <c r="CH21" i="52" s="1"/>
  <c r="CG10" i="52"/>
  <c r="CG8" i="52" s="1"/>
  <c r="CH16" i="52"/>
  <c r="M25" i="71"/>
  <c r="CE12" i="52"/>
  <c r="L29" i="61"/>
  <c r="L29" i="71"/>
  <c r="CC29" i="52"/>
  <c r="CC53" i="52" s="1"/>
  <c r="CF50" i="52"/>
  <c r="CF51" i="52"/>
  <c r="CF28" i="52"/>
  <c r="CE40" i="52"/>
  <c r="CE29" i="52" s="1"/>
  <c r="CE53" i="52" s="1"/>
  <c r="CF12" i="52" l="1"/>
  <c r="CH13" i="52"/>
  <c r="CH50" i="52" s="1"/>
  <c r="CE54" i="52"/>
  <c r="CE59" i="52"/>
  <c r="CF40" i="52"/>
  <c r="CF29" i="52" s="1"/>
  <c r="CF53" i="52" s="1"/>
  <c r="CA69" i="52"/>
  <c r="CB69" i="52" s="1"/>
  <c r="CC68" i="52"/>
  <c r="CG21" i="52"/>
  <c r="CA63" i="52"/>
  <c r="CB63" i="52" s="1"/>
  <c r="CB62" i="52"/>
  <c r="CC54" i="52"/>
  <c r="CC59" i="52"/>
  <c r="CG4" i="52"/>
  <c r="CH10" i="52"/>
  <c r="CH8" i="52" s="1"/>
  <c r="CI16" i="52"/>
  <c r="L33" i="71"/>
  <c r="M33" i="71" s="1"/>
  <c r="M29" i="71"/>
  <c r="CD40" i="52"/>
  <c r="M29" i="61"/>
  <c r="L33" i="61"/>
  <c r="M33" i="61" s="1"/>
  <c r="CH51" i="52" l="1"/>
  <c r="CH40" i="52" s="1"/>
  <c r="CH29" i="52" s="1"/>
  <c r="CH28" i="52"/>
  <c r="CA64" i="52"/>
  <c r="CA66" i="52" s="1"/>
  <c r="CB66" i="52" s="1"/>
  <c r="CH4" i="52"/>
  <c r="CI10" i="52"/>
  <c r="CI8" i="52" s="1"/>
  <c r="CJ16" i="52"/>
  <c r="M41" i="61"/>
  <c r="M41" i="71"/>
  <c r="CI22" i="52"/>
  <c r="CD29" i="52"/>
  <c r="CD53" i="52" s="1"/>
  <c r="CD68" i="52" s="1"/>
  <c r="CG13" i="52"/>
  <c r="CE62" i="52"/>
  <c r="CE60" i="52"/>
  <c r="CC60" i="52"/>
  <c r="CC62" i="52"/>
  <c r="L35" i="61"/>
  <c r="L35" i="71"/>
  <c r="CF54" i="52"/>
  <c r="CF59" i="52"/>
  <c r="CC69" i="52"/>
  <c r="CB64" i="52" l="1"/>
  <c r="L37" i="61" s="1"/>
  <c r="CH53" i="52"/>
  <c r="CH54" i="52" s="1"/>
  <c r="CD69" i="52"/>
  <c r="CE68" i="52"/>
  <c r="M35" i="71"/>
  <c r="CE63" i="52"/>
  <c r="CE64" i="52" s="1"/>
  <c r="CE66" i="52" s="1"/>
  <c r="CC63" i="52"/>
  <c r="CC64" i="52" s="1"/>
  <c r="CI21" i="52"/>
  <c r="CJ10" i="52"/>
  <c r="CJ8" i="52" s="1"/>
  <c r="CI4" i="52"/>
  <c r="CK16" i="52"/>
  <c r="M35" i="61"/>
  <c r="CG51" i="52"/>
  <c r="CG12" i="52"/>
  <c r="CG50" i="52"/>
  <c r="CG28" i="52"/>
  <c r="CD59" i="52"/>
  <c r="CD54" i="52"/>
  <c r="L39" i="71"/>
  <c r="L39" i="61"/>
  <c r="CF62" i="52"/>
  <c r="CF60" i="52"/>
  <c r="CJ22" i="52"/>
  <c r="CJ21" i="52" s="1"/>
  <c r="CJ13" i="52" s="1"/>
  <c r="CH12" i="52"/>
  <c r="L37" i="71" l="1"/>
  <c r="M37" i="71" s="1"/>
  <c r="CH59" i="52"/>
  <c r="CH60" i="52" s="1"/>
  <c r="M39" i="71"/>
  <c r="CI13" i="52"/>
  <c r="M37" i="61"/>
  <c r="CJ50" i="52"/>
  <c r="CJ51" i="52"/>
  <c r="CJ28" i="52"/>
  <c r="CC66" i="52"/>
  <c r="CD62" i="52"/>
  <c r="CD60" i="52"/>
  <c r="CK22" i="52"/>
  <c r="CK21" i="52" s="1"/>
  <c r="CK13" i="52" s="1"/>
  <c r="M39" i="61"/>
  <c r="CJ4" i="52"/>
  <c r="CL22" i="52" s="1"/>
  <c r="CL21" i="52" s="1"/>
  <c r="CK10" i="52"/>
  <c r="CK8" i="52" s="1"/>
  <c r="CL16" i="52"/>
  <c r="CE69" i="52"/>
  <c r="CF68" i="52"/>
  <c r="CF63" i="52"/>
  <c r="CF64" i="52" s="1"/>
  <c r="CF66" i="52" s="1"/>
  <c r="CG40" i="52"/>
  <c r="CH62" i="52" l="1"/>
  <c r="CH63" i="52" s="1"/>
  <c r="CH64" i="52" s="1"/>
  <c r="CH66" i="52" s="1"/>
  <c r="CL13" i="52"/>
  <c r="CL51" i="52" s="1"/>
  <c r="CJ12" i="52"/>
  <c r="CK50" i="52"/>
  <c r="CK28" i="52"/>
  <c r="CK51" i="52"/>
  <c r="CJ40" i="52"/>
  <c r="CJ29" i="52" s="1"/>
  <c r="CJ53" i="52" s="1"/>
  <c r="CG29" i="52"/>
  <c r="CG53" i="52" s="1"/>
  <c r="CG68" i="52" s="1"/>
  <c r="CF69" i="52"/>
  <c r="CK4" i="52"/>
  <c r="CM16" i="52"/>
  <c r="CL10" i="52"/>
  <c r="CL8" i="52" s="1"/>
  <c r="CD63" i="52"/>
  <c r="CI50" i="52"/>
  <c r="CI12" i="52"/>
  <c r="CI28" i="52"/>
  <c r="CI51" i="52"/>
  <c r="CL50" i="52" l="1"/>
  <c r="CL40" i="52" s="1"/>
  <c r="CL29" i="52" s="1"/>
  <c r="CL28" i="52"/>
  <c r="CL4" i="52"/>
  <c r="CM10" i="52"/>
  <c r="CM8" i="52" s="1"/>
  <c r="CN16" i="52"/>
  <c r="CJ59" i="52"/>
  <c r="CJ54" i="52"/>
  <c r="CM22" i="52"/>
  <c r="CM21" i="52" s="1"/>
  <c r="CM13" i="52" s="1"/>
  <c r="CG69" i="52"/>
  <c r="CH68" i="52"/>
  <c r="CG54" i="52"/>
  <c r="CG59" i="52"/>
  <c r="CK12" i="52"/>
  <c r="CI40" i="52"/>
  <c r="CD64" i="52"/>
  <c r="CK40" i="52"/>
  <c r="CK29" i="52" s="1"/>
  <c r="CK53" i="52" s="1"/>
  <c r="CL53" i="52" l="1"/>
  <c r="CL54" i="52" s="1"/>
  <c r="CM28" i="52"/>
  <c r="CM50" i="52"/>
  <c r="CM51" i="52"/>
  <c r="CJ62" i="52"/>
  <c r="CJ60" i="52"/>
  <c r="CM4" i="52"/>
  <c r="CP22" i="52" s="1"/>
  <c r="CN10" i="52"/>
  <c r="CO10" i="52" s="1"/>
  <c r="CO11" i="52" s="1"/>
  <c r="CD66" i="52"/>
  <c r="CK54" i="52"/>
  <c r="CK59" i="52"/>
  <c r="CI29" i="52"/>
  <c r="CI53" i="52" s="1"/>
  <c r="CI68" i="52" s="1"/>
  <c r="CO16" i="52"/>
  <c r="CG60" i="52"/>
  <c r="CG62" i="52"/>
  <c r="CH69" i="52"/>
  <c r="CN22" i="52"/>
  <c r="CL12" i="52"/>
  <c r="CL59" i="52" l="1"/>
  <c r="CL62" i="52" s="1"/>
  <c r="CL63" i="52" s="1"/>
  <c r="CL64" i="52" s="1"/>
  <c r="CL66" i="52" s="1"/>
  <c r="CP21" i="52"/>
  <c r="CJ63" i="52"/>
  <c r="CJ64" i="52" s="1"/>
  <c r="CJ66" i="52" s="1"/>
  <c r="CN8" i="52"/>
  <c r="CG63" i="52"/>
  <c r="CM12" i="52"/>
  <c r="CM40" i="52"/>
  <c r="CI69" i="52"/>
  <c r="CJ68" i="52"/>
  <c r="CN21" i="52"/>
  <c r="CO22" i="52"/>
  <c r="CI54" i="52"/>
  <c r="CI59" i="52"/>
  <c r="CK62" i="52"/>
  <c r="CK60" i="52"/>
  <c r="CL60" i="52" l="1"/>
  <c r="CK63" i="52"/>
  <c r="CK64" i="52" s="1"/>
  <c r="CK66" i="52" s="1"/>
  <c r="CG64" i="52"/>
  <c r="CN4" i="52"/>
  <c r="CP10" i="52"/>
  <c r="CP8" i="52" s="1"/>
  <c r="CQ16" i="52"/>
  <c r="CP16" i="52"/>
  <c r="CO8" i="52"/>
  <c r="CO21" i="52"/>
  <c r="CN13" i="52"/>
  <c r="CM29" i="52"/>
  <c r="CM53" i="52" s="1"/>
  <c r="CI62" i="52"/>
  <c r="CI60" i="52"/>
  <c r="CJ69" i="52"/>
  <c r="CK68" i="52"/>
  <c r="CG66" i="52" l="1"/>
  <c r="CK69" i="52"/>
  <c r="CL68" i="52"/>
  <c r="CN12" i="52"/>
  <c r="CO12" i="52" s="1"/>
  <c r="CN51" i="52"/>
  <c r="CO51" i="52" s="1"/>
  <c r="CN28" i="52"/>
  <c r="CN50" i="52"/>
  <c r="CO50" i="52" s="1"/>
  <c r="CO40" i="52" s="1"/>
  <c r="CO13" i="52"/>
  <c r="CP4" i="52"/>
  <c r="CQ10" i="52"/>
  <c r="CQ8" i="52" s="1"/>
  <c r="CR16" i="52"/>
  <c r="CP13" i="52"/>
  <c r="CQ22" i="52"/>
  <c r="CO4" i="52"/>
  <c r="CM54" i="52"/>
  <c r="CM59" i="52"/>
  <c r="CI63" i="52"/>
  <c r="CI64" i="52" s="1"/>
  <c r="CI66" i="52" s="1"/>
  <c r="CM60" i="52" l="1"/>
  <c r="CM62" i="52"/>
  <c r="CN40" i="52"/>
  <c r="CQ21" i="52"/>
  <c r="N6" i="61"/>
  <c r="N6" i="71"/>
  <c r="CL69" i="52"/>
  <c r="CM68" i="52"/>
  <c r="CR22" i="52"/>
  <c r="CR21" i="52" s="1"/>
  <c r="CR13" i="52" s="1"/>
  <c r="N9" i="71"/>
  <c r="N9" i="61"/>
  <c r="CO28" i="52"/>
  <c r="N26" i="71"/>
  <c r="N26" i="61"/>
  <c r="N7" i="71"/>
  <c r="N7" i="61"/>
  <c r="CP51" i="52"/>
  <c r="CP12" i="52"/>
  <c r="CP50" i="52"/>
  <c r="CP28" i="52"/>
  <c r="CQ4" i="52"/>
  <c r="CS22" i="52" s="1"/>
  <c r="CS21" i="52" s="1"/>
  <c r="CR10" i="52"/>
  <c r="CR8" i="52" s="1"/>
  <c r="CS16" i="52"/>
  <c r="O9" i="71" l="1"/>
  <c r="O11" i="71"/>
  <c r="CR50" i="52"/>
  <c r="CR51" i="52"/>
  <c r="CR28" i="52"/>
  <c r="CS13" i="52"/>
  <c r="CQ13" i="52"/>
  <c r="CN29" i="52"/>
  <c r="CN53" i="52" s="1"/>
  <c r="CN68" i="52" s="1"/>
  <c r="CO29" i="52"/>
  <c r="CR4" i="52"/>
  <c r="CT22" i="52" s="1"/>
  <c r="CT21" i="52" s="1"/>
  <c r="CS10" i="52"/>
  <c r="CS8" i="52" s="1"/>
  <c r="CT16" i="52"/>
  <c r="N25" i="71"/>
  <c r="N25" i="61"/>
  <c r="N13" i="71"/>
  <c r="CM63" i="52"/>
  <c r="CM64" i="52" s="1"/>
  <c r="O9" i="61"/>
  <c r="N13" i="61"/>
  <c r="O11" i="61"/>
  <c r="CP40" i="52"/>
  <c r="CM69" i="52"/>
  <c r="CT13" i="52" l="1"/>
  <c r="CT28" i="52" s="1"/>
  <c r="CM66" i="52"/>
  <c r="CN69" i="52"/>
  <c r="CO69" i="52" s="1"/>
  <c r="CT10" i="52"/>
  <c r="CT8" i="52" s="1"/>
  <c r="CS4" i="52"/>
  <c r="CU16" i="52"/>
  <c r="N15" i="71"/>
  <c r="O25" i="71" s="1"/>
  <c r="O13" i="71"/>
  <c r="N15" i="61"/>
  <c r="N29" i="61" s="1"/>
  <c r="O13" i="61"/>
  <c r="CS28" i="52"/>
  <c r="CS50" i="52"/>
  <c r="CS51" i="52"/>
  <c r="CP29" i="52"/>
  <c r="CP53" i="52" s="1"/>
  <c r="CR12" i="52"/>
  <c r="CN54" i="52"/>
  <c r="CO54" i="52" s="1"/>
  <c r="CN59" i="52"/>
  <c r="CO53" i="52"/>
  <c r="CQ50" i="52"/>
  <c r="CQ28" i="52"/>
  <c r="CQ51" i="52"/>
  <c r="CQ12" i="52"/>
  <c r="CR40" i="52"/>
  <c r="CR29" i="52" s="1"/>
  <c r="CR53" i="52" s="1"/>
  <c r="CT51" i="52" l="1"/>
  <c r="CT50" i="52"/>
  <c r="O25" i="61"/>
  <c r="CS40" i="52"/>
  <c r="CS29" i="52" s="1"/>
  <c r="CS53" i="52" s="1"/>
  <c r="CR59" i="52"/>
  <c r="CR54" i="52"/>
  <c r="CP54" i="52"/>
  <c r="CP59" i="52"/>
  <c r="CN60" i="52"/>
  <c r="CO60" i="52" s="1"/>
  <c r="CN62" i="52"/>
  <c r="CO59" i="52"/>
  <c r="CT4" i="52"/>
  <c r="CU10" i="52"/>
  <c r="CU8" i="52" s="1"/>
  <c r="CV16" i="52"/>
  <c r="O27" i="61"/>
  <c r="O21" i="61"/>
  <c r="O15" i="61"/>
  <c r="O23" i="61"/>
  <c r="O17" i="61"/>
  <c r="O18" i="61"/>
  <c r="O22" i="61"/>
  <c r="O16" i="61"/>
  <c r="O19" i="61"/>
  <c r="O20" i="61"/>
  <c r="O24" i="61"/>
  <c r="O26" i="61"/>
  <c r="CQ40" i="52"/>
  <c r="O16" i="71"/>
  <c r="O27" i="71"/>
  <c r="O15" i="71"/>
  <c r="O21" i="71"/>
  <c r="O17" i="71"/>
  <c r="O24" i="71"/>
  <c r="O19" i="71"/>
  <c r="O20" i="71"/>
  <c r="O22" i="71"/>
  <c r="O18" i="71"/>
  <c r="O23" i="71"/>
  <c r="O26" i="71"/>
  <c r="CU22" i="52"/>
  <c r="N33" i="61"/>
  <c r="O33" i="61" s="1"/>
  <c r="O29" i="61"/>
  <c r="CP68" i="52"/>
  <c r="O41" i="71"/>
  <c r="O41" i="61"/>
  <c r="CS12" i="52"/>
  <c r="N29" i="71"/>
  <c r="CT40" i="52" l="1"/>
  <c r="CT29" i="52" s="1"/>
  <c r="CT53" i="52" s="1"/>
  <c r="CT54" i="52" s="1"/>
  <c r="CV22" i="52"/>
  <c r="CV21" i="52" s="1"/>
  <c r="CV13" i="52" s="1"/>
  <c r="CT12" i="52"/>
  <c r="CN63" i="52"/>
  <c r="CO63" i="52" s="1"/>
  <c r="CO62" i="52"/>
  <c r="N33" i="71"/>
  <c r="O33" i="71" s="1"/>
  <c r="O29" i="71"/>
  <c r="CS54" i="52"/>
  <c r="CS59" i="52"/>
  <c r="CQ29" i="52"/>
  <c r="CQ53" i="52" s="1"/>
  <c r="CQ68" i="52" s="1"/>
  <c r="CP60" i="52"/>
  <c r="CP62" i="52"/>
  <c r="CP69" i="52"/>
  <c r="CU4" i="52"/>
  <c r="CW22" i="52" s="1"/>
  <c r="CW21" i="52" s="1"/>
  <c r="CV10" i="52"/>
  <c r="CV8" i="52" s="1"/>
  <c r="CW16" i="52"/>
  <c r="CU21" i="52"/>
  <c r="CR62" i="52"/>
  <c r="CR60" i="52"/>
  <c r="CT59" i="52" l="1"/>
  <c r="CT60" i="52" s="1"/>
  <c r="CV50" i="52"/>
  <c r="CV51" i="52"/>
  <c r="CV28" i="52"/>
  <c r="CV4" i="52"/>
  <c r="CX22" i="52" s="1"/>
  <c r="CX21" i="52" s="1"/>
  <c r="CW10" i="52"/>
  <c r="CX16" i="52"/>
  <c r="CW8" i="52"/>
  <c r="N35" i="61"/>
  <c r="N35" i="71"/>
  <c r="CW13" i="52"/>
  <c r="CS60" i="52"/>
  <c r="CS62" i="52"/>
  <c r="CQ69" i="52"/>
  <c r="CR68" i="52"/>
  <c r="CN64" i="52"/>
  <c r="CP63" i="52"/>
  <c r="CP64" i="52" s="1"/>
  <c r="CR63" i="52"/>
  <c r="CR64" i="52" s="1"/>
  <c r="CR66" i="52" s="1"/>
  <c r="CU13" i="52"/>
  <c r="CQ54" i="52"/>
  <c r="CQ59" i="52"/>
  <c r="CT62" i="52" l="1"/>
  <c r="CT63" i="52" s="1"/>
  <c r="CT64" i="52" s="1"/>
  <c r="CT66" i="52" s="1"/>
  <c r="CX13" i="52"/>
  <c r="CX50" i="52" s="1"/>
  <c r="CQ60" i="52"/>
  <c r="CQ62" i="52"/>
  <c r="CR69" i="52"/>
  <c r="CS68" i="52"/>
  <c r="O35" i="71"/>
  <c r="CP66" i="52"/>
  <c r="O35" i="61"/>
  <c r="CN66" i="52"/>
  <c r="CO66" i="52" s="1"/>
  <c r="CO64" i="52"/>
  <c r="CW4" i="52"/>
  <c r="CY22" i="52" s="1"/>
  <c r="CY21" i="52" s="1"/>
  <c r="CX10" i="52"/>
  <c r="CX8" i="52" s="1"/>
  <c r="CY16" i="52"/>
  <c r="CU50" i="52"/>
  <c r="CU12" i="52"/>
  <c r="CU51" i="52"/>
  <c r="CU28" i="52"/>
  <c r="CS63" i="52"/>
  <c r="CS64" i="52" s="1"/>
  <c r="CS66" i="52" s="1"/>
  <c r="CV12" i="52"/>
  <c r="CW50" i="52"/>
  <c r="CW28" i="52"/>
  <c r="CW51" i="52"/>
  <c r="CV40" i="52"/>
  <c r="CV29" i="52" s="1"/>
  <c r="CV53" i="52" s="1"/>
  <c r="CX28" i="52" l="1"/>
  <c r="CX51" i="52"/>
  <c r="CX40" i="52" s="1"/>
  <c r="CX29" i="52" s="1"/>
  <c r="CW12" i="52"/>
  <c r="CY13" i="52"/>
  <c r="CY50" i="52" s="1"/>
  <c r="CX4" i="52"/>
  <c r="CY10" i="52"/>
  <c r="CY8" i="52" s="1"/>
  <c r="CZ16" i="52"/>
  <c r="CV59" i="52"/>
  <c r="CV54" i="52"/>
  <c r="CS69" i="52"/>
  <c r="CT68" i="52"/>
  <c r="N37" i="71"/>
  <c r="N37" i="61"/>
  <c r="N39" i="71"/>
  <c r="N39" i="61"/>
  <c r="CQ63" i="52"/>
  <c r="CQ64" i="52" s="1"/>
  <c r="CU40" i="52"/>
  <c r="CW40" i="52"/>
  <c r="CW29" i="52" s="1"/>
  <c r="CW53" i="52" s="1"/>
  <c r="CX53" i="52" l="1"/>
  <c r="CX54" i="52" s="1"/>
  <c r="CY28" i="52"/>
  <c r="CY51" i="52"/>
  <c r="CY40" i="52" s="1"/>
  <c r="CY29" i="52" s="1"/>
  <c r="CW59" i="52"/>
  <c r="CW54" i="52"/>
  <c r="O37" i="71"/>
  <c r="CT69" i="52"/>
  <c r="O37" i="61"/>
  <c r="O39" i="61"/>
  <c r="CU29" i="52"/>
  <c r="CU53" i="52" s="1"/>
  <c r="CQ66" i="52"/>
  <c r="CY4" i="52"/>
  <c r="CZ10" i="52"/>
  <c r="CZ8" i="52" s="1"/>
  <c r="DA16" i="52"/>
  <c r="CV60" i="52"/>
  <c r="CV62" i="52"/>
  <c r="O39" i="71"/>
  <c r="CZ22" i="52"/>
  <c r="CZ21" i="52" s="1"/>
  <c r="CZ13" i="52" s="1"/>
  <c r="CX12" i="52"/>
  <c r="CX59" i="52" l="1"/>
  <c r="CX62" i="52" s="1"/>
  <c r="CY53" i="52"/>
  <c r="CY54" i="52" s="1"/>
  <c r="CZ51" i="52"/>
  <c r="CZ28" i="52"/>
  <c r="CZ50" i="52"/>
  <c r="DA22" i="52"/>
  <c r="CY12" i="52"/>
  <c r="CU54" i="52"/>
  <c r="CU59" i="52"/>
  <c r="DB16" i="52"/>
  <c r="DA10" i="52"/>
  <c r="DB10" i="52" s="1"/>
  <c r="DB11" i="52" s="1"/>
  <c r="CZ4" i="52"/>
  <c r="DC22" i="52" s="1"/>
  <c r="CU68" i="52"/>
  <c r="CV63" i="52"/>
  <c r="CV64" i="52" s="1"/>
  <c r="CV66" i="52" s="1"/>
  <c r="CW62" i="52"/>
  <c r="CW60" i="52"/>
  <c r="CX60" i="52" l="1"/>
  <c r="CY59" i="52"/>
  <c r="CY60" i="52" s="1"/>
  <c r="CU69" i="52"/>
  <c r="CV68" i="52"/>
  <c r="CX63" i="52"/>
  <c r="CX64" i="52" s="1"/>
  <c r="CX66" i="52" s="1"/>
  <c r="DA8" i="52"/>
  <c r="DC21" i="52"/>
  <c r="DA21" i="52"/>
  <c r="DB22" i="52"/>
  <c r="CZ40" i="52"/>
  <c r="CW63" i="52"/>
  <c r="CW64" i="52" s="1"/>
  <c r="CW66" i="52" s="1"/>
  <c r="CU60" i="52"/>
  <c r="CU62" i="52"/>
  <c r="CZ12" i="52"/>
  <c r="CY62" i="52" l="1"/>
  <c r="CY63" i="52" s="1"/>
  <c r="CY64" i="52" s="1"/>
  <c r="CY66" i="52" s="1"/>
  <c r="DB21" i="52"/>
  <c r="DA13" i="52"/>
  <c r="CU63" i="52"/>
  <c r="CU64" i="52" s="1"/>
  <c r="DC10" i="52"/>
  <c r="DA4" i="52"/>
  <c r="DC16" i="52"/>
  <c r="DD16" i="52"/>
  <c r="DB8" i="52"/>
  <c r="CV69" i="52"/>
  <c r="CW68" i="52"/>
  <c r="CZ29" i="52"/>
  <c r="CZ53" i="52" s="1"/>
  <c r="CZ59" i="52" l="1"/>
  <c r="CZ54" i="52"/>
  <c r="DC8" i="52"/>
  <c r="DD22" i="52"/>
  <c r="DB4" i="52"/>
  <c r="CU66" i="52"/>
  <c r="CW69" i="52"/>
  <c r="CX68" i="52"/>
  <c r="DA28" i="52"/>
  <c r="DA51" i="52"/>
  <c r="DB51" i="52" s="1"/>
  <c r="DA50" i="52"/>
  <c r="DB50" i="52" s="1"/>
  <c r="DA12" i="52"/>
  <c r="DB12" i="52" s="1"/>
  <c r="DB13" i="52"/>
  <c r="DC13" i="52"/>
  <c r="DB40" i="52" l="1"/>
  <c r="CX69" i="52"/>
  <c r="CY68" i="52"/>
  <c r="DC51" i="52"/>
  <c r="DC50" i="52"/>
  <c r="DC28" i="52"/>
  <c r="P6" i="71"/>
  <c r="P6" i="61"/>
  <c r="DD21" i="52"/>
  <c r="P9" i="61"/>
  <c r="P9" i="71"/>
  <c r="DD10" i="52"/>
  <c r="DD8" i="52" s="1"/>
  <c r="DC4" i="52"/>
  <c r="DE16" i="52"/>
  <c r="P7" i="61"/>
  <c r="P7" i="71"/>
  <c r="DA40" i="52"/>
  <c r="P26" i="71"/>
  <c r="P26" i="61"/>
  <c r="CZ60" i="52"/>
  <c r="CZ62" i="52"/>
  <c r="DB28" i="52"/>
  <c r="Q9" i="71" l="1"/>
  <c r="Q11" i="71"/>
  <c r="DD4" i="52"/>
  <c r="DF22" i="52" s="1"/>
  <c r="DF21" i="52" s="1"/>
  <c r="DE10" i="52"/>
  <c r="DE8" i="52" s="1"/>
  <c r="DF16" i="52"/>
  <c r="Q11" i="61"/>
  <c r="Q9" i="61"/>
  <c r="P13" i="61"/>
  <c r="DA29" i="52"/>
  <c r="DA53" i="52" s="1"/>
  <c r="DB29" i="52"/>
  <c r="DE22" i="52"/>
  <c r="CZ63" i="52"/>
  <c r="CZ64" i="52" s="1"/>
  <c r="DC40" i="52"/>
  <c r="P13" i="71"/>
  <c r="DC12" i="52"/>
  <c r="CY69" i="52"/>
  <c r="CZ68" i="52"/>
  <c r="P25" i="71"/>
  <c r="P25" i="61"/>
  <c r="DD13" i="52"/>
  <c r="DF13" i="52" l="1"/>
  <c r="DF28" i="52" s="1"/>
  <c r="DE4" i="52"/>
  <c r="DF10" i="52"/>
  <c r="DF8" i="52" s="1"/>
  <c r="DG16" i="52"/>
  <c r="CZ69" i="52"/>
  <c r="DA68" i="52"/>
  <c r="Q13" i="71"/>
  <c r="Q13" i="61"/>
  <c r="DE21" i="52"/>
  <c r="P15" i="71"/>
  <c r="Q25" i="71" s="1"/>
  <c r="CZ66" i="52"/>
  <c r="DD12" i="52"/>
  <c r="DD51" i="52"/>
  <c r="DD28" i="52"/>
  <c r="DD50" i="52"/>
  <c r="DC29" i="52"/>
  <c r="DC53" i="52" s="1"/>
  <c r="DA59" i="52"/>
  <c r="DA54" i="52"/>
  <c r="DB54" i="52" s="1"/>
  <c r="DB53" i="52"/>
  <c r="P15" i="61"/>
  <c r="P29" i="61" s="1"/>
  <c r="DF51" i="52" l="1"/>
  <c r="DF50" i="52"/>
  <c r="P29" i="71"/>
  <c r="P33" i="71" s="1"/>
  <c r="Q33" i="71" s="1"/>
  <c r="P33" i="61"/>
  <c r="Q33" i="61" s="1"/>
  <c r="Q29" i="61"/>
  <c r="DC54" i="52"/>
  <c r="DC59" i="52"/>
  <c r="DA62" i="52"/>
  <c r="DA60" i="52"/>
  <c r="DB60" i="52" s="1"/>
  <c r="DB59" i="52"/>
  <c r="DF4" i="52"/>
  <c r="DH16" i="52"/>
  <c r="DG10" i="52"/>
  <c r="DG8" i="52" s="1"/>
  <c r="Q21" i="61"/>
  <c r="Q17" i="61"/>
  <c r="Q15" i="61"/>
  <c r="Q20" i="61"/>
  <c r="Q27" i="61"/>
  <c r="Q16" i="61"/>
  <c r="Q23" i="61"/>
  <c r="Q18" i="61"/>
  <c r="Q24" i="61"/>
  <c r="Q22" i="61"/>
  <c r="Q19" i="61"/>
  <c r="Q26" i="61"/>
  <c r="Q25" i="61"/>
  <c r="DA69" i="52"/>
  <c r="DB69" i="52" s="1"/>
  <c r="DC68" i="52"/>
  <c r="DD40" i="52"/>
  <c r="Q15" i="71"/>
  <c r="Q19" i="71"/>
  <c r="Q22" i="71"/>
  <c r="Q18" i="71"/>
  <c r="Q20" i="71"/>
  <c r="Q23" i="71"/>
  <c r="Q16" i="71"/>
  <c r="Q24" i="71"/>
  <c r="Q21" i="71"/>
  <c r="Q27" i="71"/>
  <c r="Q17" i="71"/>
  <c r="Q26" i="71"/>
  <c r="DE13" i="52"/>
  <c r="DG22" i="52"/>
  <c r="DF40" i="52" l="1"/>
  <c r="DF29" i="52" s="1"/>
  <c r="DF53" i="52" s="1"/>
  <c r="DF54" i="52" s="1"/>
  <c r="Q29" i="71"/>
  <c r="DD29" i="52"/>
  <c r="DD53" i="52" s="1"/>
  <c r="DD68" i="52" s="1"/>
  <c r="DH22" i="52"/>
  <c r="DH21" i="52" s="1"/>
  <c r="DH13" i="52" s="1"/>
  <c r="DF12" i="52"/>
  <c r="DA63" i="52"/>
  <c r="DB63" i="52" s="1"/>
  <c r="DB62" i="52"/>
  <c r="Q41" i="61"/>
  <c r="Q41" i="71"/>
  <c r="DC60" i="52"/>
  <c r="DC62" i="52"/>
  <c r="DG21" i="52"/>
  <c r="DE50" i="52"/>
  <c r="DE12" i="52"/>
  <c r="DE28" i="52"/>
  <c r="DE51" i="52"/>
  <c r="DC69" i="52"/>
  <c r="DG4" i="52"/>
  <c r="DI22" i="52" s="1"/>
  <c r="DI21" i="52" s="1"/>
  <c r="DH10" i="52"/>
  <c r="DH8" i="52" s="1"/>
  <c r="DI16" i="52"/>
  <c r="DF59" i="52" l="1"/>
  <c r="DF60" i="52" s="1"/>
  <c r="DH28" i="52"/>
  <c r="DH51" i="52"/>
  <c r="DH50" i="52"/>
  <c r="DH4" i="52"/>
  <c r="DJ16" i="52"/>
  <c r="DI10" i="52"/>
  <c r="DI8" i="52" s="1"/>
  <c r="DD69" i="52"/>
  <c r="DE40" i="52"/>
  <c r="DG13" i="52"/>
  <c r="P35" i="61"/>
  <c r="P35" i="71"/>
  <c r="DA64" i="52"/>
  <c r="DI13" i="52"/>
  <c r="DC63" i="52"/>
  <c r="DD54" i="52"/>
  <c r="DD59" i="52"/>
  <c r="DF62" i="52" l="1"/>
  <c r="DH40" i="52"/>
  <c r="DH29" i="52" s="1"/>
  <c r="DH53" i="52" s="1"/>
  <c r="DI4" i="52"/>
  <c r="DK22" i="52" s="1"/>
  <c r="DK21" i="52" s="1"/>
  <c r="DJ10" i="52"/>
  <c r="DJ8" i="52" s="1"/>
  <c r="DK16" i="52"/>
  <c r="Q35" i="61"/>
  <c r="DD60" i="52"/>
  <c r="DD62" i="52"/>
  <c r="DG50" i="52"/>
  <c r="DG28" i="52"/>
  <c r="DG12" i="52"/>
  <c r="DG51" i="52"/>
  <c r="Q35" i="71"/>
  <c r="DF63" i="52"/>
  <c r="DF64" i="52" s="1"/>
  <c r="DF66" i="52" s="1"/>
  <c r="DE29" i="52"/>
  <c r="DE53" i="52" s="1"/>
  <c r="DA66" i="52"/>
  <c r="DB66" i="52" s="1"/>
  <c r="DB64" i="52"/>
  <c r="DJ22" i="52"/>
  <c r="DH12" i="52"/>
  <c r="DC64" i="52"/>
  <c r="DI28" i="52"/>
  <c r="DI51" i="52"/>
  <c r="DI50" i="52"/>
  <c r="DI12" i="52" l="1"/>
  <c r="DK13" i="52"/>
  <c r="DK51" i="52" s="1"/>
  <c r="DI40" i="52"/>
  <c r="DI29" i="52" s="1"/>
  <c r="DI53" i="52" s="1"/>
  <c r="P37" i="71"/>
  <c r="P37" i="61"/>
  <c r="DC66" i="52"/>
  <c r="P39" i="71"/>
  <c r="P39" i="61"/>
  <c r="DG40" i="52"/>
  <c r="DE59" i="52"/>
  <c r="DE54" i="52"/>
  <c r="DE68" i="52"/>
  <c r="DD63" i="52"/>
  <c r="DH54" i="52"/>
  <c r="DH59" i="52"/>
  <c r="DJ4" i="52"/>
  <c r="DK10" i="52"/>
  <c r="DK8" i="52" s="1"/>
  <c r="DL16" i="52"/>
  <c r="DJ21" i="52"/>
  <c r="DJ13" i="52" s="1"/>
  <c r="DK50" i="52" l="1"/>
  <c r="DK40" i="52" s="1"/>
  <c r="DK29" i="52" s="1"/>
  <c r="DK28" i="52"/>
  <c r="DG29" i="52"/>
  <c r="DG53" i="52" s="1"/>
  <c r="DH62" i="52"/>
  <c r="DH60" i="52"/>
  <c r="DK4" i="52"/>
  <c r="DL10" i="52"/>
  <c r="DL8" i="52" s="1"/>
  <c r="DM16" i="52"/>
  <c r="Q39" i="61"/>
  <c r="Q39" i="71"/>
  <c r="DJ50" i="52"/>
  <c r="DJ12" i="52"/>
  <c r="DJ51" i="52"/>
  <c r="DJ28" i="52"/>
  <c r="DD64" i="52"/>
  <c r="DE69" i="52"/>
  <c r="DF68" i="52"/>
  <c r="DI59" i="52"/>
  <c r="DI54" i="52"/>
  <c r="DL22" i="52"/>
  <c r="DL21" i="52" s="1"/>
  <c r="DL13" i="52" s="1"/>
  <c r="Q37" i="61"/>
  <c r="DE60" i="52"/>
  <c r="DE62" i="52"/>
  <c r="Q37" i="71"/>
  <c r="DK53" i="52" l="1"/>
  <c r="DK59" i="52" s="1"/>
  <c r="DL51" i="52"/>
  <c r="DL50" i="52"/>
  <c r="DL28" i="52"/>
  <c r="DF69" i="52"/>
  <c r="DG68" i="52"/>
  <c r="DE63" i="52"/>
  <c r="DE64" i="52" s="1"/>
  <c r="DE66" i="52" s="1"/>
  <c r="DD66" i="52"/>
  <c r="DL4" i="52"/>
  <c r="DN22" i="52" s="1"/>
  <c r="DM10" i="52"/>
  <c r="DM8" i="52" s="1"/>
  <c r="DN16" i="52"/>
  <c r="DM22" i="52"/>
  <c r="DM21" i="52" s="1"/>
  <c r="DM13" i="52" s="1"/>
  <c r="DK12" i="52"/>
  <c r="DJ40" i="52"/>
  <c r="DH63" i="52"/>
  <c r="DH64" i="52" s="1"/>
  <c r="DH66" i="52" s="1"/>
  <c r="DI62" i="52"/>
  <c r="DI60" i="52"/>
  <c r="DG54" i="52"/>
  <c r="DG59" i="52"/>
  <c r="DK54" i="52" l="1"/>
  <c r="DL40" i="52"/>
  <c r="DL29" i="52" s="1"/>
  <c r="DL53" i="52" s="1"/>
  <c r="DM50" i="52"/>
  <c r="DM51" i="52"/>
  <c r="DM28" i="52"/>
  <c r="DN21" i="52"/>
  <c r="DO21" i="52" s="1"/>
  <c r="DO22" i="52"/>
  <c r="DK60" i="52"/>
  <c r="DK62" i="52"/>
  <c r="DG62" i="52"/>
  <c r="DG60" i="52"/>
  <c r="DO16" i="52"/>
  <c r="DG69" i="52"/>
  <c r="DH68" i="52"/>
  <c r="DN10" i="52"/>
  <c r="DO10" i="52" s="1"/>
  <c r="DO11" i="52" s="1"/>
  <c r="DM4" i="52"/>
  <c r="DP22" i="52" s="1"/>
  <c r="DI63" i="52"/>
  <c r="DI64" i="52" s="1"/>
  <c r="DI66" i="52" s="1"/>
  <c r="DL12" i="52"/>
  <c r="DJ29" i="52"/>
  <c r="DJ53" i="52" s="1"/>
  <c r="DN8" i="52" l="1"/>
  <c r="DP10" i="52" s="1"/>
  <c r="DP8" i="52" s="1"/>
  <c r="DL59" i="52"/>
  <c r="DL60" i="52" s="1"/>
  <c r="DL54" i="52"/>
  <c r="DG63" i="52"/>
  <c r="DG64" i="52" s="1"/>
  <c r="DK63" i="52"/>
  <c r="DK64" i="52" s="1"/>
  <c r="DK66" i="52" s="1"/>
  <c r="DP21" i="52"/>
  <c r="DI68" i="52"/>
  <c r="DH69" i="52"/>
  <c r="DJ54" i="52"/>
  <c r="DJ59" i="52"/>
  <c r="DN13" i="52"/>
  <c r="DM12" i="52"/>
  <c r="DM40" i="52"/>
  <c r="DM29" i="52" s="1"/>
  <c r="DM53" i="52" s="1"/>
  <c r="DP16" i="52" l="1"/>
  <c r="DO8" i="52"/>
  <c r="DQ16" i="52"/>
  <c r="DN4" i="52"/>
  <c r="DL62" i="52"/>
  <c r="DL63" i="52" s="1"/>
  <c r="DL64" i="52" s="1"/>
  <c r="DL66" i="52" s="1"/>
  <c r="DG66" i="52"/>
  <c r="DP13" i="52"/>
  <c r="DQ22" i="52"/>
  <c r="DO4" i="52"/>
  <c r="DN50" i="52"/>
  <c r="DO50" i="52" s="1"/>
  <c r="DN12" i="52"/>
  <c r="DO12" i="52" s="1"/>
  <c r="DN28" i="52"/>
  <c r="DN51" i="52"/>
  <c r="DO51" i="52" s="1"/>
  <c r="DO13" i="52"/>
  <c r="DQ10" i="52"/>
  <c r="DQ8" i="52" s="1"/>
  <c r="DP4" i="52"/>
  <c r="DR16" i="52"/>
  <c r="DJ62" i="52"/>
  <c r="DJ60" i="52"/>
  <c r="DJ68" i="52"/>
  <c r="DI69" i="52"/>
  <c r="DM59" i="52"/>
  <c r="DM54" i="52"/>
  <c r="DO40" i="52" l="1"/>
  <c r="R7" i="61"/>
  <c r="R7" i="71"/>
  <c r="DJ63" i="52"/>
  <c r="DJ64" i="52" s="1"/>
  <c r="R9" i="71"/>
  <c r="R9" i="61"/>
  <c r="R26" i="71"/>
  <c r="R26" i="61"/>
  <c r="DJ69" i="52"/>
  <c r="DK68" i="52"/>
  <c r="DO28" i="52"/>
  <c r="DN40" i="52"/>
  <c r="R6" i="61"/>
  <c r="R6" i="71"/>
  <c r="DQ21" i="52"/>
  <c r="DQ4" i="52"/>
  <c r="DS22" i="52" s="1"/>
  <c r="DS21" i="52" s="1"/>
  <c r="DR10" i="52"/>
  <c r="DS16" i="52"/>
  <c r="DP12" i="52"/>
  <c r="DP51" i="52"/>
  <c r="DP50" i="52"/>
  <c r="DP28" i="52"/>
  <c r="DR22" i="52"/>
  <c r="DR21" i="52" s="1"/>
  <c r="DR13" i="52" s="1"/>
  <c r="DM62" i="52"/>
  <c r="DM60" i="52"/>
  <c r="S9" i="71" l="1"/>
  <c r="S11" i="71"/>
  <c r="DS13" i="52"/>
  <c r="DS51" i="52" s="1"/>
  <c r="DR50" i="52"/>
  <c r="DR51" i="52"/>
  <c r="DR28" i="52"/>
  <c r="DK69" i="52"/>
  <c r="DL68" i="52"/>
  <c r="DQ13" i="52"/>
  <c r="DP40" i="52"/>
  <c r="R25" i="71"/>
  <c r="R25" i="61"/>
  <c r="R13" i="71"/>
  <c r="DM63" i="52"/>
  <c r="DM64" i="52" s="1"/>
  <c r="DM66" i="52" s="1"/>
  <c r="S9" i="61"/>
  <c r="S11" i="61"/>
  <c r="R13" i="61"/>
  <c r="DJ66" i="52"/>
  <c r="DN29" i="52"/>
  <c r="DN53" i="52" s="1"/>
  <c r="DO29" i="52"/>
  <c r="DR8" i="52"/>
  <c r="DS50" i="52" l="1"/>
  <c r="DS40" i="52" s="1"/>
  <c r="DS29" i="52" s="1"/>
  <c r="DS28" i="52"/>
  <c r="R15" i="61"/>
  <c r="R29" i="61" s="1"/>
  <c r="DR4" i="52"/>
  <c r="DS10" i="52"/>
  <c r="DS8" i="52" s="1"/>
  <c r="DT16" i="52"/>
  <c r="DL69" i="52"/>
  <c r="DM68" i="52"/>
  <c r="DP29" i="52"/>
  <c r="DP53" i="52" s="1"/>
  <c r="S13" i="61"/>
  <c r="DQ50" i="52"/>
  <c r="DQ51" i="52"/>
  <c r="DQ12" i="52"/>
  <c r="DQ28" i="52"/>
  <c r="R15" i="71"/>
  <c r="DN59" i="52"/>
  <c r="DN54" i="52"/>
  <c r="DO54" i="52" s="1"/>
  <c r="DO53" i="52"/>
  <c r="S13" i="71"/>
  <c r="DR40" i="52"/>
  <c r="DR29" i="52" s="1"/>
  <c r="DR53" i="52" s="1"/>
  <c r="DS53" i="52" l="1"/>
  <c r="DS59" i="52" s="1"/>
  <c r="S16" i="71"/>
  <c r="S24" i="71"/>
  <c r="S19" i="71"/>
  <c r="S20" i="71"/>
  <c r="S15" i="71"/>
  <c r="S21" i="71"/>
  <c r="S22" i="71"/>
  <c r="S17" i="71"/>
  <c r="S27" i="71"/>
  <c r="S18" i="71"/>
  <c r="S23" i="71"/>
  <c r="S26" i="71"/>
  <c r="DT22" i="52"/>
  <c r="DR12" i="52"/>
  <c r="DN62" i="52"/>
  <c r="DN60" i="52"/>
  <c r="DO60" i="52" s="1"/>
  <c r="DO59" i="52"/>
  <c r="DR54" i="52"/>
  <c r="DR59" i="52"/>
  <c r="DM69" i="52"/>
  <c r="DN68" i="52"/>
  <c r="S25" i="71"/>
  <c r="DS4" i="52"/>
  <c r="DU16" i="52"/>
  <c r="DT10" i="52"/>
  <c r="DT8" i="52" s="1"/>
  <c r="R29" i="71"/>
  <c r="DQ40" i="52"/>
  <c r="S29" i="61"/>
  <c r="R33" i="61"/>
  <c r="S33" i="61" s="1"/>
  <c r="S19" i="61"/>
  <c r="S22" i="61"/>
  <c r="S21" i="61"/>
  <c r="S17" i="61"/>
  <c r="S15" i="61"/>
  <c r="S18" i="61"/>
  <c r="S20" i="61"/>
  <c r="S23" i="61"/>
  <c r="S24" i="61"/>
  <c r="S27" i="61"/>
  <c r="S16" i="61"/>
  <c r="S26" i="61"/>
  <c r="DP59" i="52"/>
  <c r="DP54" i="52"/>
  <c r="S25" i="61"/>
  <c r="DS54" i="52" l="1"/>
  <c r="DT4" i="52"/>
  <c r="DU10" i="52"/>
  <c r="DU8" i="52" s="1"/>
  <c r="DV16" i="52"/>
  <c r="DP60" i="52"/>
  <c r="DP62" i="52"/>
  <c r="DU22" i="52"/>
  <c r="DU21" i="52" s="1"/>
  <c r="DU13" i="52" s="1"/>
  <c r="DS12" i="52"/>
  <c r="DT21" i="52"/>
  <c r="DN63" i="52"/>
  <c r="DO63" i="52" s="1"/>
  <c r="DO62" i="52"/>
  <c r="DR60" i="52"/>
  <c r="DR62" i="52"/>
  <c r="DN69" i="52"/>
  <c r="DO69" i="52" s="1"/>
  <c r="DP68" i="52"/>
  <c r="DQ29" i="52"/>
  <c r="DQ53" i="52" s="1"/>
  <c r="R33" i="71"/>
  <c r="S33" i="71" s="1"/>
  <c r="S29" i="71"/>
  <c r="DS62" i="52"/>
  <c r="DS60" i="52"/>
  <c r="DN64" i="52" l="1"/>
  <c r="DN66" i="52" s="1"/>
  <c r="DO66" i="52" s="1"/>
  <c r="DU51" i="52"/>
  <c r="DU28" i="52"/>
  <c r="DU50" i="52"/>
  <c r="DT13" i="52"/>
  <c r="S41" i="61"/>
  <c r="S41" i="71"/>
  <c r="DP69" i="52"/>
  <c r="DQ68" i="52"/>
  <c r="R35" i="71"/>
  <c r="R35" i="61"/>
  <c r="DQ54" i="52"/>
  <c r="DQ59" i="52"/>
  <c r="DP63" i="52"/>
  <c r="DP64" i="52" s="1"/>
  <c r="DR63" i="52"/>
  <c r="DR64" i="52" s="1"/>
  <c r="DR66" i="52" s="1"/>
  <c r="DU4" i="52"/>
  <c r="DW22" i="52" s="1"/>
  <c r="DW21" i="52" s="1"/>
  <c r="DV10" i="52"/>
  <c r="DV8" i="52" s="1"/>
  <c r="DW16" i="52"/>
  <c r="DS63" i="52"/>
  <c r="DS64" i="52" s="1"/>
  <c r="DS66" i="52" s="1"/>
  <c r="DV22" i="52"/>
  <c r="DV21" i="52" s="1"/>
  <c r="DV13" i="52" s="1"/>
  <c r="DO64" i="52" l="1"/>
  <c r="R37" i="71" s="1"/>
  <c r="DU40" i="52"/>
  <c r="DU29" i="52" s="1"/>
  <c r="DU53" i="52" s="1"/>
  <c r="DW13" i="52"/>
  <c r="DW28" i="52" s="1"/>
  <c r="DV50" i="52"/>
  <c r="DV51" i="52"/>
  <c r="DV28" i="52"/>
  <c r="DV4" i="52"/>
  <c r="DX22" i="52" s="1"/>
  <c r="DX21" i="52" s="1"/>
  <c r="DW10" i="52"/>
  <c r="DW8" i="52" s="1"/>
  <c r="DX16" i="52"/>
  <c r="S35" i="61"/>
  <c r="S35" i="71"/>
  <c r="DR68" i="52"/>
  <c r="DQ69" i="52"/>
  <c r="R39" i="61"/>
  <c r="R39" i="71"/>
  <c r="DP66" i="52"/>
  <c r="DT50" i="52"/>
  <c r="DT12" i="52"/>
  <c r="DT51" i="52"/>
  <c r="DT28" i="52"/>
  <c r="DU12" i="52"/>
  <c r="DQ62" i="52"/>
  <c r="DQ60" i="52"/>
  <c r="R37" i="61" l="1"/>
  <c r="S37" i="61" s="1"/>
  <c r="DW51" i="52"/>
  <c r="DX13" i="52"/>
  <c r="DX51" i="52" s="1"/>
  <c r="DW50" i="52"/>
  <c r="DX10" i="52"/>
  <c r="DX8" i="52" s="1"/>
  <c r="DW4" i="52"/>
  <c r="DY16" i="52"/>
  <c r="DS68" i="52"/>
  <c r="DR69" i="52"/>
  <c r="S37" i="71"/>
  <c r="DV12" i="52"/>
  <c r="DQ63" i="52"/>
  <c r="DQ64" i="52" s="1"/>
  <c r="DT40" i="52"/>
  <c r="DU54" i="52"/>
  <c r="DU59" i="52"/>
  <c r="S39" i="71"/>
  <c r="S39" i="61"/>
  <c r="DV40" i="52"/>
  <c r="DV29" i="52" s="1"/>
  <c r="DV53" i="52" s="1"/>
  <c r="DW40" i="52" l="1"/>
  <c r="DW29" i="52" s="1"/>
  <c r="DW53" i="52" s="1"/>
  <c r="DW54" i="52" s="1"/>
  <c r="DX50" i="52"/>
  <c r="DX40" i="52" s="1"/>
  <c r="DX29" i="52" s="1"/>
  <c r="DX28" i="52"/>
  <c r="DV54" i="52"/>
  <c r="DV59" i="52"/>
  <c r="DQ66" i="52"/>
  <c r="DS69" i="52"/>
  <c r="DT29" i="52"/>
  <c r="DT53" i="52" s="1"/>
  <c r="DX4" i="52"/>
  <c r="DY10" i="52"/>
  <c r="DY8" i="52" s="1"/>
  <c r="DZ16" i="52"/>
  <c r="DY22" i="52"/>
  <c r="DY21" i="52" s="1"/>
  <c r="DY13" i="52" s="1"/>
  <c r="DW12" i="52"/>
  <c r="DU60" i="52"/>
  <c r="DU62" i="52"/>
  <c r="DX53" i="52" l="1"/>
  <c r="DW59" i="52"/>
  <c r="DW60" i="52" s="1"/>
  <c r="DY50" i="52"/>
  <c r="DY51" i="52"/>
  <c r="DY28" i="52"/>
  <c r="DX54" i="52"/>
  <c r="DX59" i="52"/>
  <c r="DU63" i="52"/>
  <c r="DU64" i="52" s="1"/>
  <c r="DU66" i="52" s="1"/>
  <c r="DT54" i="52"/>
  <c r="DT59" i="52"/>
  <c r="DT68" i="52"/>
  <c r="DY4" i="52"/>
  <c r="EA22" i="52" s="1"/>
  <c r="DZ10" i="52"/>
  <c r="DZ8" i="52" s="1"/>
  <c r="EA16" i="52"/>
  <c r="DV62" i="52"/>
  <c r="DV60" i="52"/>
  <c r="DZ22" i="52"/>
  <c r="DZ21" i="52" s="1"/>
  <c r="DZ13" i="52" s="1"/>
  <c r="DX12" i="52"/>
  <c r="DW62" i="52" l="1"/>
  <c r="DW63" i="52" s="1"/>
  <c r="DW64" i="52" s="1"/>
  <c r="DW66" i="52" s="1"/>
  <c r="DZ4" i="52"/>
  <c r="DZ12" i="52" s="1"/>
  <c r="EA10" i="52"/>
  <c r="EB10" i="52" s="1"/>
  <c r="EB11" i="52" s="1"/>
  <c r="DV63" i="52"/>
  <c r="DV64" i="52" s="1"/>
  <c r="DV66" i="52" s="1"/>
  <c r="EB16" i="52"/>
  <c r="EA21" i="52"/>
  <c r="EB21" i="52" s="1"/>
  <c r="EB22" i="52"/>
  <c r="DX60" i="52"/>
  <c r="DX62" i="52"/>
  <c r="DZ51" i="52"/>
  <c r="DZ50" i="52"/>
  <c r="DZ28" i="52"/>
  <c r="DT69" i="52"/>
  <c r="DU68" i="52"/>
  <c r="DT62" i="52"/>
  <c r="DT60" i="52"/>
  <c r="DY12" i="52"/>
  <c r="DY40" i="52"/>
  <c r="DZ40" i="52" l="1"/>
  <c r="DZ29" i="52" s="1"/>
  <c r="DZ53" i="52" s="1"/>
  <c r="DY29" i="52"/>
  <c r="DY53" i="52" s="1"/>
  <c r="DT63" i="52"/>
  <c r="DU69" i="52"/>
  <c r="DV68" i="52"/>
  <c r="EA13" i="52"/>
  <c r="EA8" i="52"/>
  <c r="DX63" i="52"/>
  <c r="DX64" i="52" s="1"/>
  <c r="DX66" i="52" s="1"/>
  <c r="DZ54" i="52" l="1"/>
  <c r="DZ59" i="52"/>
  <c r="DZ62" i="52" s="1"/>
  <c r="DV69" i="52"/>
  <c r="DW68" i="52"/>
  <c r="EA51" i="52"/>
  <c r="EB51" i="52" s="1"/>
  <c r="EA50" i="52"/>
  <c r="EB50" i="52" s="1"/>
  <c r="EA28" i="52"/>
  <c r="EB13" i="52"/>
  <c r="DT64" i="52"/>
  <c r="DY54" i="52"/>
  <c r="DY59" i="52"/>
  <c r="EA4" i="52"/>
  <c r="EB4" i="52" s="1"/>
  <c r="EB8" i="52"/>
  <c r="EB40" i="52" l="1"/>
  <c r="EA12" i="52"/>
  <c r="EB12" i="52" s="1"/>
  <c r="T7" i="61" s="1"/>
  <c r="V7" i="61" s="1"/>
  <c r="DZ60" i="52"/>
  <c r="T9" i="61"/>
  <c r="T9" i="71"/>
  <c r="DT66" i="52"/>
  <c r="EB28" i="52"/>
  <c r="EA40" i="52"/>
  <c r="T26" i="61"/>
  <c r="T26" i="71"/>
  <c r="T6" i="61"/>
  <c r="T6" i="71"/>
  <c r="V6" i="61"/>
  <c r="V6" i="71"/>
  <c r="DZ63" i="52"/>
  <c r="DZ64" i="52" s="1"/>
  <c r="DZ66" i="52" s="1"/>
  <c r="DX68" i="52"/>
  <c r="DW69" i="52"/>
  <c r="DY60" i="52"/>
  <c r="DY62" i="52"/>
  <c r="T7" i="71" l="1"/>
  <c r="V7" i="71" s="1"/>
  <c r="U9" i="71"/>
  <c r="U11" i="71"/>
  <c r="V26" i="71"/>
  <c r="DX69" i="52"/>
  <c r="DY68" i="52"/>
  <c r="T13" i="71"/>
  <c r="V9" i="71"/>
  <c r="V26" i="61"/>
  <c r="DY63" i="52"/>
  <c r="DY64" i="52" s="1"/>
  <c r="T25" i="71"/>
  <c r="T25" i="61"/>
  <c r="EA29" i="52"/>
  <c r="EA53" i="52" s="1"/>
  <c r="EB29" i="52"/>
  <c r="U11" i="61"/>
  <c r="U9" i="61"/>
  <c r="T13" i="61"/>
  <c r="V9" i="61"/>
  <c r="V13" i="71" l="1"/>
  <c r="W13" i="71" s="1"/>
  <c r="W9" i="71"/>
  <c r="W11" i="71"/>
  <c r="DY66" i="52"/>
  <c r="W11" i="61"/>
  <c r="W9" i="61"/>
  <c r="V13" i="61"/>
  <c r="U13" i="61"/>
  <c r="U13" i="71"/>
  <c r="DY69" i="52"/>
  <c r="DZ68" i="52"/>
  <c r="EA59" i="52"/>
  <c r="EA54" i="52"/>
  <c r="EB54" i="52" s="1"/>
  <c r="EB53" i="52"/>
  <c r="T15" i="61"/>
  <c r="U25" i="61" s="1"/>
  <c r="V25" i="61"/>
  <c r="T15" i="71"/>
  <c r="T29" i="71" s="1"/>
  <c r="V25" i="71"/>
  <c r="U25" i="71" l="1"/>
  <c r="V15" i="71"/>
  <c r="T33" i="71"/>
  <c r="U33" i="71" s="1"/>
  <c r="U29" i="71"/>
  <c r="DZ69" i="52"/>
  <c r="EA68" i="52"/>
  <c r="J3" i="73" s="1" a="1"/>
  <c r="J3" i="73" s="1"/>
  <c r="U27" i="71"/>
  <c r="U15" i="71"/>
  <c r="U18" i="71"/>
  <c r="U17" i="71"/>
  <c r="U24" i="71"/>
  <c r="U20" i="71"/>
  <c r="U19" i="71"/>
  <c r="U16" i="71"/>
  <c r="U21" i="71"/>
  <c r="U23" i="71"/>
  <c r="U22" i="71"/>
  <c r="U26" i="71"/>
  <c r="V15" i="61"/>
  <c r="V29" i="61" s="1"/>
  <c r="U17" i="61"/>
  <c r="U27" i="61"/>
  <c r="U24" i="61"/>
  <c r="U20" i="61"/>
  <c r="U21" i="61"/>
  <c r="U15" i="61"/>
  <c r="U22" i="61"/>
  <c r="U19" i="61"/>
  <c r="U16" i="61"/>
  <c r="U23" i="61"/>
  <c r="U18" i="61"/>
  <c r="U26" i="61"/>
  <c r="T29" i="61"/>
  <c r="W13" i="61"/>
  <c r="EA62" i="52"/>
  <c r="EA60" i="52"/>
  <c r="EB60" i="52" s="1"/>
  <c r="EB59" i="52"/>
  <c r="EA63" i="52" l="1"/>
  <c r="EB63" i="52" s="1"/>
  <c r="EB62" i="52"/>
  <c r="V33" i="61"/>
  <c r="W33" i="61" s="1"/>
  <c r="W29" i="61"/>
  <c r="T33" i="61"/>
  <c r="U33" i="61" s="1"/>
  <c r="U29" i="61"/>
  <c r="EA69" i="52"/>
  <c r="W19" i="61"/>
  <c r="W15" i="61"/>
  <c r="W20" i="61"/>
  <c r="W27" i="61"/>
  <c r="W23" i="61"/>
  <c r="W17" i="61"/>
  <c r="W21" i="61"/>
  <c r="W16" i="61"/>
  <c r="W24" i="61"/>
  <c r="W18" i="61"/>
  <c r="W22" i="61"/>
  <c r="W26" i="61"/>
  <c r="W25" i="61"/>
  <c r="W17" i="71"/>
  <c r="W16" i="71"/>
  <c r="W19" i="71"/>
  <c r="W23" i="71"/>
  <c r="W24" i="71"/>
  <c r="W15" i="71"/>
  <c r="W21" i="71"/>
  <c r="W18" i="71"/>
  <c r="W27" i="71"/>
  <c r="W20" i="71"/>
  <c r="W22" i="71"/>
  <c r="V29" i="71"/>
  <c r="W26" i="71"/>
  <c r="W25" i="71"/>
  <c r="V33" i="71" l="1"/>
  <c r="W33" i="71" s="1"/>
  <c r="W29" i="71"/>
  <c r="U41" i="71"/>
  <c r="U41" i="61"/>
  <c r="EB69" i="52"/>
  <c r="T35" i="71"/>
  <c r="T35" i="61"/>
  <c r="EA64" i="52"/>
  <c r="EA66" i="52" l="1"/>
  <c r="EB66" i="52" s="1"/>
  <c r="EB64" i="52"/>
  <c r="U35" i="61"/>
  <c r="V35" i="61"/>
  <c r="W35" i="61" s="1"/>
  <c r="U35" i="71"/>
  <c r="V35" i="71"/>
  <c r="W35" i="71" s="1"/>
  <c r="T37" i="71" l="1"/>
  <c r="T37" i="61"/>
  <c r="T39" i="71"/>
  <c r="T39" i="61"/>
  <c r="U39" i="61" l="1"/>
  <c r="V39" i="61"/>
  <c r="W39" i="61" s="1"/>
  <c r="U39" i="71"/>
  <c r="V39" i="71"/>
  <c r="W39" i="71" s="1"/>
  <c r="U37" i="61"/>
  <c r="V37" i="61"/>
  <c r="W37" i="61" s="1"/>
  <c r="U37" i="71"/>
  <c r="V37" i="71"/>
  <c r="W37" i="7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田中修平</author>
  </authors>
  <commentList>
    <comment ref="D20" authorId="0" shapeId="0" xr:uid="{B6EF8BD2-EB82-4077-A9F6-BEE134EACF61}">
      <text>
        <r>
          <rPr>
            <b/>
            <sz val="9"/>
            <color indexed="81"/>
            <rFont val="MS P ゴシック"/>
            <family val="3"/>
            <charset val="128"/>
          </rPr>
          <t>田中修平:</t>
        </r>
        <r>
          <rPr>
            <sz val="9"/>
            <color indexed="81"/>
            <rFont val="MS P ゴシック"/>
            <family val="3"/>
            <charset val="128"/>
          </rPr>
          <t xml:space="preserve">
メンテックス</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田中修平</author>
  </authors>
  <commentList>
    <comment ref="L5" authorId="0" shapeId="0" xr:uid="{117F45D3-FB22-4323-BF72-C70782F424E8}">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退会率＝8%想定</t>
        </r>
      </text>
    </comment>
    <comment ref="M5" authorId="0" shapeId="0" xr:uid="{185C4A28-87F3-45A9-8459-0D3F8D376BDE}">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退会率＝6%想定</t>
        </r>
      </text>
    </comment>
    <comment ref="N5" authorId="0" shapeId="0" xr:uid="{0F0815F4-AF74-4256-AEE0-D0863AB70FA3}">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退会率＝6%想定</t>
        </r>
      </text>
    </comment>
    <comment ref="L8" authorId="0" shapeId="0" xr:uid="{9DA798AF-2D7F-4ED1-8779-EF964546984A}">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退会率＝8%想定</t>
        </r>
      </text>
    </comment>
    <comment ref="M8" authorId="0" shapeId="0" xr:uid="{34743B37-E895-44B2-B434-DA19F10CE5F0}">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退会率＝6%想定</t>
        </r>
      </text>
    </comment>
    <comment ref="N8" authorId="0" shapeId="0" xr:uid="{FA8F5607-2A34-4900-8602-D97EB143CB4F}">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退会率＝6%想定</t>
        </r>
      </text>
    </comment>
    <comment ref="W8" authorId="0" shapeId="0" xr:uid="{30637D4F-C26E-4FF6-B879-28E06EC1513F}">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AJ8" authorId="0" shapeId="0" xr:uid="{B8334059-F7A2-4516-9F97-9973158D6263}">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AW8" authorId="0" shapeId="0" xr:uid="{B2E49073-5C9E-418C-A1A1-0FD621A0535D}">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BJ8" authorId="0" shapeId="0" xr:uid="{9FC76572-384B-4D5E-8507-A2DD96B408DE}">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BW8" authorId="0" shapeId="0" xr:uid="{EF9219C9-DF5A-4D11-9D2B-28764FD7CDB9}">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CJ8" authorId="0" shapeId="0" xr:uid="{D0D7BECD-0584-4219-BC4D-7F950659B09B}">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CW8" authorId="0" shapeId="0" xr:uid="{66DA6956-8638-480A-89E0-16D809FFEEF4}">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DJ8" authorId="0" shapeId="0" xr:uid="{150861C9-4CDF-4F41-9400-78A3BBA639C2}">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DW8" authorId="0" shapeId="0" xr:uid="{076CD962-5CE8-406C-B39C-3B0D4FD67AE4}">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2023実績値＝129名
他店舗値上げ影響に伴いキャンペーン投下</t>
        </r>
      </text>
    </comment>
    <comment ref="C41" authorId="0" shapeId="0" xr:uid="{B523D07D-080D-4B13-A72B-821F56977276}">
      <text>
        <r>
          <rPr>
            <b/>
            <sz val="9"/>
            <color indexed="81"/>
            <rFont val="MS P ゴシック"/>
            <family val="3"/>
            <charset val="128"/>
          </rPr>
          <t>田中修平:</t>
        </r>
        <r>
          <rPr>
            <sz val="9"/>
            <color indexed="81"/>
            <rFont val="MS P ゴシック"/>
            <family val="3"/>
            <charset val="128"/>
          </rPr>
          <t xml:space="preserve">
</t>
        </r>
        <r>
          <rPr>
            <sz val="11"/>
            <color indexed="81"/>
            <rFont val="MS P ゴシック"/>
            <family val="3"/>
            <charset val="128"/>
          </rPr>
          <t>フリーレント✕1M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<sst xmlns="http://schemas.openxmlformats.org/spreadsheetml/2006/main" count="542" uniqueCount="324">
  <si>
    <t>1期</t>
    <rPh sb="1" eb="2">
      <t>キ</t>
    </rPh>
    <phoneticPr fontId="5"/>
  </si>
  <si>
    <t>2期</t>
    <rPh sb="1" eb="2">
      <t>キ</t>
    </rPh>
    <phoneticPr fontId="5"/>
  </si>
  <si>
    <t>3期</t>
    <rPh sb="1" eb="2">
      <t>キ</t>
    </rPh>
    <phoneticPr fontId="5"/>
  </si>
  <si>
    <t>4期</t>
    <rPh sb="1" eb="2">
      <t>キ</t>
    </rPh>
    <phoneticPr fontId="5"/>
  </si>
  <si>
    <t>5期</t>
    <rPh sb="1" eb="2">
      <t>キ</t>
    </rPh>
    <phoneticPr fontId="5"/>
  </si>
  <si>
    <t>6期</t>
    <rPh sb="1" eb="2">
      <t>キ</t>
    </rPh>
    <phoneticPr fontId="5"/>
  </si>
  <si>
    <t>7期</t>
    <rPh sb="1" eb="2">
      <t>キ</t>
    </rPh>
    <phoneticPr fontId="5"/>
  </si>
  <si>
    <t>8期</t>
    <rPh sb="1" eb="2">
      <t>キ</t>
    </rPh>
    <phoneticPr fontId="5"/>
  </si>
  <si>
    <t>9期</t>
    <rPh sb="1" eb="2">
      <t>キ</t>
    </rPh>
    <phoneticPr fontId="5"/>
  </si>
  <si>
    <t>10期</t>
    <rPh sb="2" eb="3">
      <t>キ</t>
    </rPh>
    <phoneticPr fontId="5"/>
  </si>
  <si>
    <t>その他経費</t>
    <rPh sb="2" eb="3">
      <t>タ</t>
    </rPh>
    <rPh sb="3" eb="5">
      <t>ケイヒ</t>
    </rPh>
    <phoneticPr fontId="5"/>
  </si>
  <si>
    <t>加盟金</t>
    <rPh sb="0" eb="3">
      <t>カメイキン</t>
    </rPh>
    <phoneticPr fontId="5"/>
  </si>
  <si>
    <t>減価償却</t>
    <rPh sb="0" eb="4">
      <t>ゲンカショウキャク</t>
    </rPh>
    <phoneticPr fontId="5"/>
  </si>
  <si>
    <t>年数</t>
  </si>
  <si>
    <t>期首帳簿価額</t>
  </si>
  <si>
    <t>償却限度額</t>
  </si>
  <si>
    <t>期末帳簿価額</t>
  </si>
  <si>
    <t>1年</t>
  </si>
  <si>
    <t>2年</t>
  </si>
  <si>
    <t>3年</t>
  </si>
  <si>
    <t>4年</t>
  </si>
  <si>
    <t>5年</t>
  </si>
  <si>
    <t>6年</t>
  </si>
  <si>
    <t>7年</t>
  </si>
  <si>
    <t>8年</t>
  </si>
  <si>
    <t>9年</t>
  </si>
  <si>
    <t>10年</t>
  </si>
  <si>
    <t>11年</t>
  </si>
  <si>
    <t>12年</t>
  </si>
  <si>
    <t>13年</t>
  </si>
  <si>
    <t>14年</t>
  </si>
  <si>
    <t>15年</t>
  </si>
  <si>
    <t>会員管理システム</t>
    <rPh sb="0" eb="2">
      <t>カイイン</t>
    </rPh>
    <rPh sb="2" eb="4">
      <t>カンリ</t>
    </rPh>
    <phoneticPr fontId="12"/>
  </si>
  <si>
    <t>仲介手数料</t>
    <rPh sb="0" eb="5">
      <t>チュウカイテスウリョウ</t>
    </rPh>
    <phoneticPr fontId="12"/>
  </si>
  <si>
    <t>賃料1ヶ月分</t>
    <rPh sb="0" eb="2">
      <t>チンリョウ</t>
    </rPh>
    <rPh sb="4" eb="6">
      <t>ゲツブン</t>
    </rPh>
    <phoneticPr fontId="5"/>
  </si>
  <si>
    <t>礼金</t>
    <rPh sb="0" eb="2">
      <t>レイキン</t>
    </rPh>
    <phoneticPr fontId="12"/>
  </si>
  <si>
    <t>WEB販促</t>
    <rPh sb="3" eb="5">
      <t>ハンソク</t>
    </rPh>
    <phoneticPr fontId="12"/>
  </si>
  <si>
    <t>ユニフォーム</t>
    <phoneticPr fontId="12"/>
  </si>
  <si>
    <t>清掃用品</t>
    <rPh sb="0" eb="2">
      <t>セイソウ</t>
    </rPh>
    <rPh sb="2" eb="4">
      <t>ヨウヒン</t>
    </rPh>
    <phoneticPr fontId="12"/>
  </si>
  <si>
    <t>消耗品</t>
    <rPh sb="0" eb="2">
      <t>ショウモウ</t>
    </rPh>
    <rPh sb="2" eb="3">
      <t>ヒン</t>
    </rPh>
    <phoneticPr fontId="12"/>
  </si>
  <si>
    <t>販売管理費</t>
    <rPh sb="0" eb="2">
      <t>ハンバイ</t>
    </rPh>
    <rPh sb="2" eb="5">
      <t>カンリヒ</t>
    </rPh>
    <phoneticPr fontId="5"/>
  </si>
  <si>
    <t>人件費</t>
    <rPh sb="0" eb="3">
      <t>ジンケンヒ</t>
    </rPh>
    <phoneticPr fontId="5"/>
  </si>
  <si>
    <t>販売促進費</t>
    <rPh sb="0" eb="2">
      <t>ハンバイ</t>
    </rPh>
    <rPh sb="2" eb="4">
      <t>ソクシン</t>
    </rPh>
    <rPh sb="4" eb="5">
      <t>ヒ</t>
    </rPh>
    <phoneticPr fontId="5"/>
  </si>
  <si>
    <t>予算額</t>
    <rPh sb="0" eb="3">
      <t>ヨサンガク</t>
    </rPh>
    <phoneticPr fontId="5"/>
  </si>
  <si>
    <t>通常会員月会費売上</t>
    <rPh sb="0" eb="2">
      <t>ツウジョウ</t>
    </rPh>
    <rPh sb="2" eb="4">
      <t>カイイン</t>
    </rPh>
    <rPh sb="4" eb="7">
      <t>ツキカイヒ</t>
    </rPh>
    <rPh sb="7" eb="9">
      <t>ウリアゲ</t>
    </rPh>
    <phoneticPr fontId="5"/>
  </si>
  <si>
    <t>永年割り会員月会費売上</t>
    <rPh sb="0" eb="2">
      <t>エイネン</t>
    </rPh>
    <rPh sb="2" eb="3">
      <t>ワ</t>
    </rPh>
    <rPh sb="4" eb="6">
      <t>カイイン</t>
    </rPh>
    <rPh sb="6" eb="9">
      <t>ツキカイヒ</t>
    </rPh>
    <rPh sb="9" eb="11">
      <t>ウリアゲ</t>
    </rPh>
    <phoneticPr fontId="5"/>
  </si>
  <si>
    <t>日割り月会費売上※半月分で試算</t>
    <rPh sb="0" eb="2">
      <t>ヒワ</t>
    </rPh>
    <rPh sb="3" eb="6">
      <t>ツキカイヒ</t>
    </rPh>
    <rPh sb="6" eb="8">
      <t>ウリアゲ</t>
    </rPh>
    <rPh sb="9" eb="12">
      <t>ハンツキブン</t>
    </rPh>
    <rPh sb="13" eb="15">
      <t>シサン</t>
    </rPh>
    <phoneticPr fontId="5"/>
  </si>
  <si>
    <t>通期</t>
    <rPh sb="0" eb="2">
      <t>ツウキ</t>
    </rPh>
    <phoneticPr fontId="5"/>
  </si>
  <si>
    <t>平均会員数</t>
    <rPh sb="0" eb="2">
      <t>ヘイキン</t>
    </rPh>
    <rPh sb="2" eb="4">
      <t>カイイン</t>
    </rPh>
    <rPh sb="4" eb="5">
      <t>スウ</t>
    </rPh>
    <phoneticPr fontId="5"/>
  </si>
  <si>
    <t>付帯収入</t>
    <rPh sb="0" eb="2">
      <t>フタイ</t>
    </rPh>
    <rPh sb="2" eb="4">
      <t>シュウニュウ</t>
    </rPh>
    <phoneticPr fontId="5"/>
  </si>
  <si>
    <t>違約金</t>
    <rPh sb="0" eb="3">
      <t>イヤクキン</t>
    </rPh>
    <phoneticPr fontId="5"/>
  </si>
  <si>
    <t>累計</t>
    <rPh sb="0" eb="2">
      <t>ルイケイ</t>
    </rPh>
    <phoneticPr fontId="5"/>
  </si>
  <si>
    <t>水素水サーバー</t>
    <rPh sb="0" eb="3">
      <t>スイソスイ</t>
    </rPh>
    <phoneticPr fontId="12"/>
  </si>
  <si>
    <t>運搬設置費</t>
    <rPh sb="0" eb="4">
      <t>ウンパンセッチ</t>
    </rPh>
    <rPh sb="4" eb="5">
      <t>ヒ</t>
    </rPh>
    <phoneticPr fontId="12"/>
  </si>
  <si>
    <t>投資概要</t>
    <rPh sb="0" eb="2">
      <t>トウシ</t>
    </rPh>
    <rPh sb="2" eb="4">
      <t>ガイヨウ</t>
    </rPh>
    <phoneticPr fontId="5"/>
  </si>
  <si>
    <t>基本設定条件</t>
    <rPh sb="0" eb="4">
      <t>キホンセッテイ</t>
    </rPh>
    <rPh sb="4" eb="6">
      <t>ジョウケン</t>
    </rPh>
    <phoneticPr fontId="5"/>
  </si>
  <si>
    <t>入退会予測</t>
    <rPh sb="0" eb="3">
      <t>ニュウタイカイ</t>
    </rPh>
    <rPh sb="1" eb="3">
      <t>タイカイ</t>
    </rPh>
    <rPh sb="3" eb="5">
      <t>ヨソク</t>
    </rPh>
    <phoneticPr fontId="5"/>
  </si>
  <si>
    <t>　店舗名(仮)</t>
    <rPh sb="1" eb="4">
      <t>テンポメイ</t>
    </rPh>
    <rPh sb="5" eb="6">
      <t>カリ</t>
    </rPh>
    <phoneticPr fontId="5"/>
  </si>
  <si>
    <t>　住所</t>
    <rPh sb="1" eb="3">
      <t>ジュウショ</t>
    </rPh>
    <phoneticPr fontId="5"/>
  </si>
  <si>
    <t>　家賃</t>
    <rPh sb="1" eb="3">
      <t>ヤチン</t>
    </rPh>
    <phoneticPr fontId="5"/>
  </si>
  <si>
    <t>　社員給与</t>
    <rPh sb="1" eb="3">
      <t>シャイン</t>
    </rPh>
    <rPh sb="3" eb="5">
      <t>キュウヨ</t>
    </rPh>
    <phoneticPr fontId="5"/>
  </si>
  <si>
    <t>　レギュラー</t>
    <phoneticPr fontId="5"/>
  </si>
  <si>
    <t>　オフピーク</t>
    <phoneticPr fontId="5"/>
  </si>
  <si>
    <t>　通常退会率</t>
    <rPh sb="1" eb="3">
      <t>ツウジョウ</t>
    </rPh>
    <rPh sb="3" eb="5">
      <t>タイカイ</t>
    </rPh>
    <rPh sb="5" eb="6">
      <t>リツ</t>
    </rPh>
    <phoneticPr fontId="5"/>
  </si>
  <si>
    <t>　初期退会率</t>
    <rPh sb="1" eb="3">
      <t>ショキ</t>
    </rPh>
    <rPh sb="3" eb="5">
      <t>タイカイ</t>
    </rPh>
    <rPh sb="5" eb="6">
      <t>リツ</t>
    </rPh>
    <phoneticPr fontId="5"/>
  </si>
  <si>
    <t>　違約金発生率</t>
    <rPh sb="1" eb="4">
      <t>イヤクキン</t>
    </rPh>
    <rPh sb="4" eb="7">
      <t>ハッセイリツ</t>
    </rPh>
    <phoneticPr fontId="5"/>
  </si>
  <si>
    <t>　紹介制度利用率</t>
    <rPh sb="1" eb="3">
      <t>ショウカイ</t>
    </rPh>
    <rPh sb="3" eb="5">
      <t>セイド</t>
    </rPh>
    <rPh sb="5" eb="7">
      <t>リヨウ</t>
    </rPh>
    <rPh sb="7" eb="8">
      <t>リツ</t>
    </rPh>
    <phoneticPr fontId="5"/>
  </si>
  <si>
    <t>　法定福利費</t>
    <rPh sb="1" eb="3">
      <t>ホウテイ</t>
    </rPh>
    <rPh sb="3" eb="6">
      <t>フクリヒ</t>
    </rPh>
    <phoneticPr fontId="5"/>
  </si>
  <si>
    <t>会費外収入</t>
    <rPh sb="0" eb="2">
      <t>カイヒ</t>
    </rPh>
    <rPh sb="2" eb="3">
      <t>ソト</t>
    </rPh>
    <rPh sb="3" eb="5">
      <t>シュウニュウ</t>
    </rPh>
    <phoneticPr fontId="5"/>
  </si>
  <si>
    <t>　入会金</t>
    <rPh sb="1" eb="4">
      <t>ニュウカイキン</t>
    </rPh>
    <phoneticPr fontId="5"/>
  </si>
  <si>
    <t>　パーソナル単価</t>
    <rPh sb="6" eb="8">
      <t>タンカ</t>
    </rPh>
    <phoneticPr fontId="5"/>
  </si>
  <si>
    <t>　オプション単価</t>
    <rPh sb="6" eb="8">
      <t>タンカ</t>
    </rPh>
    <phoneticPr fontId="5"/>
  </si>
  <si>
    <t>　　├坪数</t>
    <rPh sb="3" eb="5">
      <t>ツボスウ</t>
    </rPh>
    <phoneticPr fontId="5"/>
  </si>
  <si>
    <t>　　└坪単価</t>
    <rPh sb="3" eb="4">
      <t>ツボ</t>
    </rPh>
    <rPh sb="4" eb="6">
      <t>タンカ</t>
    </rPh>
    <phoneticPr fontId="5"/>
  </si>
  <si>
    <t>　　├オプション①</t>
    <phoneticPr fontId="5"/>
  </si>
  <si>
    <t>　　├オプション②</t>
    <phoneticPr fontId="5"/>
  </si>
  <si>
    <t>　　└オプション③</t>
    <phoneticPr fontId="5"/>
  </si>
  <si>
    <t>その他</t>
    <rPh sb="2" eb="3">
      <t>タ</t>
    </rPh>
    <phoneticPr fontId="5"/>
  </si>
  <si>
    <t>　カード支払手数料</t>
    <rPh sb="4" eb="6">
      <t>シハライ</t>
    </rPh>
    <rPh sb="6" eb="9">
      <t>テスウリョウ</t>
    </rPh>
    <phoneticPr fontId="5"/>
  </si>
  <si>
    <t>　通勤交通費(社員)</t>
    <rPh sb="1" eb="3">
      <t>ツウキン</t>
    </rPh>
    <rPh sb="3" eb="6">
      <t>コウツウヒ</t>
    </rPh>
    <rPh sb="7" eb="9">
      <t>シャイン</t>
    </rPh>
    <phoneticPr fontId="5"/>
  </si>
  <si>
    <t>小計</t>
    <rPh sb="0" eb="2">
      <t>ショウケイ</t>
    </rPh>
    <phoneticPr fontId="5"/>
  </si>
  <si>
    <t>契約</t>
    <rPh sb="0" eb="2">
      <t>ケイヤク</t>
    </rPh>
    <phoneticPr fontId="5"/>
  </si>
  <si>
    <t>企画料</t>
    <rPh sb="0" eb="2">
      <t>キカク</t>
    </rPh>
    <rPh sb="2" eb="3">
      <t>リョウ</t>
    </rPh>
    <phoneticPr fontId="5"/>
  </si>
  <si>
    <t>建築本体工事</t>
    <rPh sb="0" eb="2">
      <t>ケンチク</t>
    </rPh>
    <rPh sb="2" eb="4">
      <t>ホンタイ</t>
    </rPh>
    <rPh sb="4" eb="6">
      <t>コウジ</t>
    </rPh>
    <phoneticPr fontId="12"/>
  </si>
  <si>
    <t>建築設備工事</t>
    <rPh sb="0" eb="2">
      <t>ケンチク</t>
    </rPh>
    <rPh sb="2" eb="4">
      <t>セツビ</t>
    </rPh>
    <rPh sb="4" eb="6">
      <t>コウジ</t>
    </rPh>
    <phoneticPr fontId="5"/>
  </si>
  <si>
    <t>サイン工事</t>
    <rPh sb="3" eb="5">
      <t>コウジ</t>
    </rPh>
    <phoneticPr fontId="5"/>
  </si>
  <si>
    <t>項目</t>
    <rPh sb="0" eb="1">
      <t>コウ</t>
    </rPh>
    <rPh sb="1" eb="2">
      <t>メ</t>
    </rPh>
    <phoneticPr fontId="5"/>
  </si>
  <si>
    <t>内訳</t>
    <rPh sb="0" eb="2">
      <t>ウチワケ</t>
    </rPh>
    <phoneticPr fontId="5"/>
  </si>
  <si>
    <t>通信</t>
    <rPh sb="0" eb="2">
      <t>ツウシン</t>
    </rPh>
    <phoneticPr fontId="5"/>
  </si>
  <si>
    <t>契約ロッカー</t>
    <rPh sb="0" eb="2">
      <t>ケイヤク</t>
    </rPh>
    <phoneticPr fontId="12"/>
  </si>
  <si>
    <t>物件取得</t>
    <rPh sb="0" eb="2">
      <t>ブッケン</t>
    </rPh>
    <rPh sb="2" eb="4">
      <t>シュトク</t>
    </rPh>
    <phoneticPr fontId="5"/>
  </si>
  <si>
    <t>内装工事※</t>
    <rPh sb="0" eb="2">
      <t>ナイソウ</t>
    </rPh>
    <rPh sb="2" eb="4">
      <t>コウジ</t>
    </rPh>
    <phoneticPr fontId="5"/>
  </si>
  <si>
    <t>開業準備</t>
    <rPh sb="0" eb="2">
      <t>カイギョウ</t>
    </rPh>
    <rPh sb="2" eb="4">
      <t>ジュンビ</t>
    </rPh>
    <phoneticPr fontId="5"/>
  </si>
  <si>
    <t>家具一式</t>
    <rPh sb="0" eb="2">
      <t>カグ</t>
    </rPh>
    <rPh sb="2" eb="4">
      <t>イッシキ</t>
    </rPh>
    <phoneticPr fontId="5"/>
  </si>
  <si>
    <t>OA機器</t>
    <rPh sb="2" eb="4">
      <t>キキ</t>
    </rPh>
    <phoneticPr fontId="5"/>
  </si>
  <si>
    <t>血圧計</t>
    <rPh sb="0" eb="3">
      <t>ケツアツケイ</t>
    </rPh>
    <phoneticPr fontId="5"/>
  </si>
  <si>
    <t>PC、プリンター、シュレッダー</t>
    <phoneticPr fontId="5"/>
  </si>
  <si>
    <t>機材・什器・家具</t>
    <rPh sb="0" eb="2">
      <t>キザイ</t>
    </rPh>
    <rPh sb="3" eb="5">
      <t>ジュウキ</t>
    </rPh>
    <rPh sb="6" eb="8">
      <t>カグ</t>
    </rPh>
    <phoneticPr fontId="5"/>
  </si>
  <si>
    <t>アルコール、ペーパー、事務消耗品</t>
    <rPh sb="11" eb="13">
      <t>ジム</t>
    </rPh>
    <rPh sb="13" eb="16">
      <t>ショウモウヒン</t>
    </rPh>
    <phoneticPr fontId="5"/>
  </si>
  <si>
    <t>フリー荷棚、ラウンジ家具、事務所家具、ダストボックス等</t>
    <rPh sb="3" eb="5">
      <t>ニダナ</t>
    </rPh>
    <rPh sb="10" eb="12">
      <t>カグ</t>
    </rPh>
    <rPh sb="26" eb="27">
      <t>トウ</t>
    </rPh>
    <phoneticPr fontId="5"/>
  </si>
  <si>
    <t>本部費用</t>
    <rPh sb="0" eb="2">
      <t>ホンブ</t>
    </rPh>
    <rPh sb="2" eb="4">
      <t>ヒヨウ</t>
    </rPh>
    <phoneticPr fontId="5"/>
  </si>
  <si>
    <t>　ロイヤリティ</t>
    <phoneticPr fontId="5"/>
  </si>
  <si>
    <t>ROI算出対象初期投資額</t>
    <phoneticPr fontId="5"/>
  </si>
  <si>
    <t>リース対象分、保証金、敷金償却等を除いた初期投資額</t>
    <rPh sb="3" eb="5">
      <t>タイショウ</t>
    </rPh>
    <rPh sb="5" eb="6">
      <t>ブン</t>
    </rPh>
    <rPh sb="7" eb="10">
      <t>ホショウキン</t>
    </rPh>
    <rPh sb="11" eb="13">
      <t>シキキン</t>
    </rPh>
    <rPh sb="13" eb="15">
      <t>ショウキャク</t>
    </rPh>
    <rPh sb="15" eb="16">
      <t>トウ</t>
    </rPh>
    <rPh sb="17" eb="18">
      <t>ノゾ</t>
    </rPh>
    <rPh sb="20" eb="25">
      <t>ショキトウシガク</t>
    </rPh>
    <phoneticPr fontId="5"/>
  </si>
  <si>
    <t>敷金・保証金</t>
    <rPh sb="0" eb="2">
      <t>シキキン</t>
    </rPh>
    <rPh sb="3" eb="6">
      <t>ホショウキン</t>
    </rPh>
    <phoneticPr fontId="12"/>
  </si>
  <si>
    <t>回収予測</t>
    <rPh sb="0" eb="2">
      <t>カイシュウ</t>
    </rPh>
    <rPh sb="2" eb="4">
      <t>ヨソク</t>
    </rPh>
    <phoneticPr fontId="5"/>
  </si>
  <si>
    <t>※水素水</t>
    <rPh sb="1" eb="4">
      <t>スイソスイ</t>
    </rPh>
    <phoneticPr fontId="5"/>
  </si>
  <si>
    <t>※賞与除外</t>
    <rPh sb="1" eb="3">
      <t>ショウヨ</t>
    </rPh>
    <rPh sb="3" eb="5">
      <t>ジョガイ</t>
    </rPh>
    <phoneticPr fontId="5"/>
  </si>
  <si>
    <t>　回収期間</t>
    <rPh sb="1" eb="3">
      <t>カイシュウ</t>
    </rPh>
    <rPh sb="3" eb="5">
      <t>キカン</t>
    </rPh>
    <phoneticPr fontId="5"/>
  </si>
  <si>
    <t>初期投資額</t>
    <rPh sb="0" eb="2">
      <t>ショキ</t>
    </rPh>
    <rPh sb="2" eb="4">
      <t>トウシ</t>
    </rPh>
    <rPh sb="4" eb="5">
      <t>ガク</t>
    </rPh>
    <phoneticPr fontId="5"/>
  </si>
  <si>
    <t>予算比率</t>
    <rPh sb="0" eb="2">
      <t>ヨサン</t>
    </rPh>
    <rPh sb="2" eb="4">
      <t>ヒリツ</t>
    </rPh>
    <phoneticPr fontId="5"/>
  </si>
  <si>
    <t>賃料6ヶ月分</t>
    <rPh sb="0" eb="2">
      <t>チンリョウ</t>
    </rPh>
    <rPh sb="4" eb="5">
      <t>ゲツ</t>
    </rPh>
    <rPh sb="5" eb="6">
      <t>ブン</t>
    </rPh>
    <phoneticPr fontId="5"/>
  </si>
  <si>
    <t>工事期間賃料</t>
    <rPh sb="0" eb="4">
      <t>コウジキカン</t>
    </rPh>
    <rPh sb="4" eb="6">
      <t>チンリョウ</t>
    </rPh>
    <phoneticPr fontId="5"/>
  </si>
  <si>
    <t>　加盟金</t>
    <rPh sb="1" eb="4">
      <t>カメイキン</t>
    </rPh>
    <phoneticPr fontId="5"/>
  </si>
  <si>
    <t>　AP①時給</t>
    <rPh sb="4" eb="6">
      <t>ジキュウ</t>
    </rPh>
    <phoneticPr fontId="5"/>
  </si>
  <si>
    <t>　AP②時給</t>
    <rPh sb="4" eb="6">
      <t>ジキュウ</t>
    </rPh>
    <phoneticPr fontId="5"/>
  </si>
  <si>
    <t>　通勤交通費(AP①）</t>
    <rPh sb="1" eb="3">
      <t>ツウキン</t>
    </rPh>
    <rPh sb="3" eb="6">
      <t>コウツウヒ</t>
    </rPh>
    <phoneticPr fontId="5"/>
  </si>
  <si>
    <t>　通勤交通費(AP②)</t>
    <rPh sb="1" eb="3">
      <t>ツウキン</t>
    </rPh>
    <rPh sb="3" eb="6">
      <t>コウツウヒ</t>
    </rPh>
    <phoneticPr fontId="5"/>
  </si>
  <si>
    <t>フィットネス機材</t>
    <rPh sb="6" eb="8">
      <t>キザイ</t>
    </rPh>
    <phoneticPr fontId="12"/>
  </si>
  <si>
    <t>レギュラー会員</t>
    <rPh sb="5" eb="7">
      <t>カイイン</t>
    </rPh>
    <phoneticPr fontId="5"/>
  </si>
  <si>
    <t>￥500永久割り会員</t>
    <rPh sb="3" eb="5">
      <t>エイキュウ</t>
    </rPh>
    <rPh sb="5" eb="6">
      <t>ワリ</t>
    </rPh>
    <rPh sb="8" eb="10">
      <t>カイイン</t>
    </rPh>
    <phoneticPr fontId="5"/>
  </si>
  <si>
    <t>　販売管理費</t>
    <phoneticPr fontId="5"/>
  </si>
  <si>
    <t>　会員数（単位：名）</t>
    <rPh sb="5" eb="7">
      <t>タンイ</t>
    </rPh>
    <rPh sb="8" eb="9">
      <t>メイ</t>
    </rPh>
    <phoneticPr fontId="5"/>
  </si>
  <si>
    <t>1</t>
    <phoneticPr fontId="5"/>
  </si>
  <si>
    <t>2</t>
  </si>
  <si>
    <t>3</t>
  </si>
  <si>
    <t>4</t>
  </si>
  <si>
    <t>6</t>
  </si>
  <si>
    <t>7</t>
  </si>
  <si>
    <t>8</t>
  </si>
  <si>
    <t>9</t>
  </si>
  <si>
    <t>10</t>
  </si>
  <si>
    <t>11</t>
  </si>
  <si>
    <t>12</t>
  </si>
  <si>
    <t>　減価償却</t>
    <rPh sb="1" eb="3">
      <t>ゲンカ</t>
    </rPh>
    <rPh sb="3" eb="5">
      <t>ショウキャク</t>
    </rPh>
    <phoneticPr fontId="5"/>
  </si>
  <si>
    <t>　売上総利益</t>
    <rPh sb="1" eb="3">
      <t>ウリアゲ</t>
    </rPh>
    <rPh sb="3" eb="6">
      <t>ソウリエキ</t>
    </rPh>
    <phoneticPr fontId="5"/>
  </si>
  <si>
    <t>　商品・売上原価</t>
    <rPh sb="1" eb="3">
      <t>ショウヒン</t>
    </rPh>
    <rPh sb="4" eb="6">
      <t>ウリアゲ</t>
    </rPh>
    <rPh sb="6" eb="8">
      <t>ゲンカ</t>
    </rPh>
    <phoneticPr fontId="5"/>
  </si>
  <si>
    <t>売上総利益</t>
    <rPh sb="0" eb="2">
      <t>ウリアゲ</t>
    </rPh>
    <rPh sb="2" eb="5">
      <t>ソウリエキ</t>
    </rPh>
    <phoneticPr fontId="5"/>
  </si>
  <si>
    <t>　償却後営業利益</t>
    <rPh sb="1" eb="3">
      <t>ショウキャク</t>
    </rPh>
    <rPh sb="3" eb="4">
      <t>アト</t>
    </rPh>
    <rPh sb="4" eb="6">
      <t>エイギョウ</t>
    </rPh>
    <rPh sb="6" eb="8">
      <t>リエキ</t>
    </rPh>
    <phoneticPr fontId="5"/>
  </si>
  <si>
    <t>会費設定</t>
    <rPh sb="0" eb="2">
      <t>カイヒ</t>
    </rPh>
    <rPh sb="2" eb="4">
      <t>セッテイ</t>
    </rPh>
    <phoneticPr fontId="5"/>
  </si>
  <si>
    <t>　レギュラー（永久割り）</t>
    <rPh sb="7" eb="9">
      <t>エイキュウ</t>
    </rPh>
    <rPh sb="9" eb="10">
      <t>ワ</t>
    </rPh>
    <phoneticPr fontId="5"/>
  </si>
  <si>
    <t>　オフピーク（永久割り）</t>
    <rPh sb="7" eb="9">
      <t>エイキュウ</t>
    </rPh>
    <rPh sb="9" eb="10">
      <t>ワ</t>
    </rPh>
    <phoneticPr fontId="5"/>
  </si>
  <si>
    <t>　借入対象額</t>
    <rPh sb="1" eb="3">
      <t>カリイレ</t>
    </rPh>
    <rPh sb="3" eb="5">
      <t>タイショウ</t>
    </rPh>
    <rPh sb="5" eb="6">
      <t>ガク</t>
    </rPh>
    <phoneticPr fontId="5"/>
  </si>
  <si>
    <t>　調達金利</t>
    <rPh sb="1" eb="3">
      <t>チョウタツ</t>
    </rPh>
    <rPh sb="3" eb="5">
      <t>キンリ</t>
    </rPh>
    <phoneticPr fontId="5"/>
  </si>
  <si>
    <t>　返済期間</t>
    <rPh sb="1" eb="5">
      <t>ヘンサイキカン</t>
    </rPh>
    <phoneticPr fontId="5"/>
  </si>
  <si>
    <t>機材</t>
    <rPh sb="0" eb="2">
      <t>キザイ</t>
    </rPh>
    <phoneticPr fontId="5"/>
  </si>
  <si>
    <t>定額償却率：</t>
    <rPh sb="0" eb="2">
      <t>テイガク</t>
    </rPh>
    <rPh sb="2" eb="5">
      <t>ショウキャクリツ</t>
    </rPh>
    <phoneticPr fontId="5"/>
  </si>
  <si>
    <t>LP作成</t>
    <rPh sb="2" eb="4">
      <t>サクセイ</t>
    </rPh>
    <phoneticPr fontId="12"/>
  </si>
  <si>
    <t>紙媒体</t>
    <rPh sb="0" eb="1">
      <t>カミ</t>
    </rPh>
    <rPh sb="1" eb="3">
      <t>バイタイ</t>
    </rPh>
    <phoneticPr fontId="12"/>
  </si>
  <si>
    <t>入会金</t>
    <rPh sb="0" eb="3">
      <t>ニュウカイキン</t>
    </rPh>
    <phoneticPr fontId="5"/>
  </si>
  <si>
    <t>CP</t>
    <phoneticPr fontId="5"/>
  </si>
  <si>
    <t>　支払い金利</t>
    <rPh sb="1" eb="3">
      <t>シハラ</t>
    </rPh>
    <rPh sb="4" eb="6">
      <t>キンリ</t>
    </rPh>
    <phoneticPr fontId="5"/>
  </si>
  <si>
    <t>　経常利益</t>
    <rPh sb="1" eb="5">
      <t>ケイジョウリエキ</t>
    </rPh>
    <phoneticPr fontId="5"/>
  </si>
  <si>
    <t>　当期純利益</t>
    <rPh sb="1" eb="3">
      <t>トウキ</t>
    </rPh>
    <rPh sb="3" eb="6">
      <t>ジュンリエキ</t>
    </rPh>
    <phoneticPr fontId="5"/>
  </si>
  <si>
    <t>　法人税</t>
    <rPh sb="1" eb="4">
      <t>ホウジンゼイ</t>
    </rPh>
    <phoneticPr fontId="5"/>
  </si>
  <si>
    <t>　元本返済</t>
    <rPh sb="1" eb="3">
      <t>ガンポン</t>
    </rPh>
    <rPh sb="3" eb="5">
      <t>ヘンサイ</t>
    </rPh>
    <phoneticPr fontId="5"/>
  </si>
  <si>
    <t>　当期キャッシュフロー</t>
    <rPh sb="1" eb="3">
      <t>トウキ</t>
    </rPh>
    <phoneticPr fontId="5"/>
  </si>
  <si>
    <t>　償却前営業利益</t>
    <rPh sb="1" eb="3">
      <t>ショウキャク</t>
    </rPh>
    <rPh sb="3" eb="4">
      <t>マエ</t>
    </rPh>
    <rPh sb="4" eb="6">
      <t>エイギョウ</t>
    </rPh>
    <rPh sb="6" eb="8">
      <t>リエキ</t>
    </rPh>
    <phoneticPr fontId="5"/>
  </si>
  <si>
    <t>法人税</t>
    <rPh sb="0" eb="3">
      <t>ホウジンゼイ</t>
    </rPh>
    <phoneticPr fontId="5"/>
  </si>
  <si>
    <t>　実行税率</t>
    <rPh sb="1" eb="3">
      <t>ジッコウ</t>
    </rPh>
    <rPh sb="3" eb="5">
      <t>ゼイリツ</t>
    </rPh>
    <phoneticPr fontId="5"/>
  </si>
  <si>
    <t>※初年度</t>
    <rPh sb="1" eb="4">
      <t>ショネンド</t>
    </rPh>
    <phoneticPr fontId="5"/>
  </si>
  <si>
    <t>※二期目以降</t>
    <rPh sb="1" eb="2">
      <t>ニ</t>
    </rPh>
    <rPh sb="2" eb="4">
      <t>キメ</t>
    </rPh>
    <rPh sb="4" eb="6">
      <t>イコウ</t>
    </rPh>
    <phoneticPr fontId="5"/>
  </si>
  <si>
    <t>　契約期間</t>
    <rPh sb="1" eb="3">
      <t>ケイヤク</t>
    </rPh>
    <rPh sb="3" eb="5">
      <t>キカン</t>
    </rPh>
    <phoneticPr fontId="5"/>
  </si>
  <si>
    <t>※8h✕20日勤務/月</t>
    <rPh sb="6" eb="7">
      <t>ニチ</t>
    </rPh>
    <rPh sb="7" eb="9">
      <t>キンム</t>
    </rPh>
    <rPh sb="10" eb="11">
      <t>ツキ</t>
    </rPh>
    <phoneticPr fontId="5"/>
  </si>
  <si>
    <t>※8h✕16日勤務/月</t>
    <rPh sb="6" eb="7">
      <t>ニチ</t>
    </rPh>
    <rPh sb="7" eb="9">
      <t>キンム</t>
    </rPh>
    <rPh sb="10" eb="11">
      <t>ツキ</t>
    </rPh>
    <phoneticPr fontId="5"/>
  </si>
  <si>
    <t>資金計画</t>
    <rPh sb="0" eb="2">
      <t>シキン</t>
    </rPh>
    <rPh sb="2" eb="4">
      <t>ケイカク</t>
    </rPh>
    <phoneticPr fontId="5"/>
  </si>
  <si>
    <t>　必要予算</t>
    <rPh sb="1" eb="3">
      <t>ヒツヨウ</t>
    </rPh>
    <rPh sb="3" eb="5">
      <t>ヨサン</t>
    </rPh>
    <phoneticPr fontId="5"/>
  </si>
  <si>
    <t>　自己資金</t>
    <rPh sb="1" eb="5">
      <t>ジコシキン</t>
    </rPh>
    <phoneticPr fontId="5"/>
  </si>
  <si>
    <t>　差額</t>
    <rPh sb="1" eb="3">
      <t>サガク</t>
    </rPh>
    <phoneticPr fontId="5"/>
  </si>
  <si>
    <t>　売上高</t>
    <rPh sb="3" eb="4">
      <t>タカ</t>
    </rPh>
    <phoneticPr fontId="5"/>
  </si>
  <si>
    <t>売上高</t>
    <rPh sb="0" eb="2">
      <t>ウリアゲ</t>
    </rPh>
    <rPh sb="2" eb="3">
      <t>タカ</t>
    </rPh>
    <phoneticPr fontId="5"/>
  </si>
  <si>
    <t>償却前営業利益</t>
    <rPh sb="0" eb="2">
      <t>ショウキャク</t>
    </rPh>
    <rPh sb="2" eb="3">
      <t>マエ</t>
    </rPh>
    <rPh sb="3" eb="7">
      <t>エイギョウリエキ</t>
    </rPh>
    <phoneticPr fontId="5"/>
  </si>
  <si>
    <t>償却後営業利益</t>
    <rPh sb="0" eb="2">
      <t>ショウキャク</t>
    </rPh>
    <rPh sb="2" eb="3">
      <t>アト</t>
    </rPh>
    <rPh sb="3" eb="7">
      <t>エイギョウリエキ</t>
    </rPh>
    <phoneticPr fontId="5"/>
  </si>
  <si>
    <t>経常利益</t>
    <rPh sb="0" eb="2">
      <t>ケイジョウ</t>
    </rPh>
    <rPh sb="2" eb="4">
      <t>リエキ</t>
    </rPh>
    <phoneticPr fontId="5"/>
  </si>
  <si>
    <t>当期純利益</t>
    <rPh sb="0" eb="2">
      <t>トウキ</t>
    </rPh>
    <rPh sb="2" eb="5">
      <t>ジュンリエキ</t>
    </rPh>
    <phoneticPr fontId="5"/>
  </si>
  <si>
    <t>当期キャッシュフロー</t>
    <rPh sb="0" eb="2">
      <t>トウキ</t>
    </rPh>
    <phoneticPr fontId="5"/>
  </si>
  <si>
    <t>減価償却</t>
    <rPh sb="0" eb="2">
      <t>ゲンカ</t>
    </rPh>
    <rPh sb="2" eb="4">
      <t>ショウキャク</t>
    </rPh>
    <phoneticPr fontId="5"/>
  </si>
  <si>
    <t>施工管理費</t>
    <rPh sb="0" eb="4">
      <t>セコウカンリ</t>
    </rPh>
    <rPh sb="4" eb="5">
      <t>ヒ</t>
    </rPh>
    <phoneticPr fontId="5"/>
  </si>
  <si>
    <t>　　営業利益率</t>
    <rPh sb="2" eb="4">
      <t>エイギョウ</t>
    </rPh>
    <rPh sb="4" eb="6">
      <t>リエキ</t>
    </rPh>
    <rPh sb="6" eb="7">
      <t>リツ</t>
    </rPh>
    <phoneticPr fontId="5"/>
  </si>
  <si>
    <t>　　人件費</t>
    <rPh sb="2" eb="5">
      <t>ジンケンヒ</t>
    </rPh>
    <phoneticPr fontId="5"/>
  </si>
  <si>
    <t>　　販売促進費</t>
    <rPh sb="2" eb="6">
      <t>ハンバイソクシン</t>
    </rPh>
    <rPh sb="6" eb="7">
      <t>ヒ</t>
    </rPh>
    <phoneticPr fontId="5"/>
  </si>
  <si>
    <t>　　地代家賃</t>
    <rPh sb="2" eb="4">
      <t>チダイ</t>
    </rPh>
    <rPh sb="4" eb="6">
      <t>ヤチン</t>
    </rPh>
    <phoneticPr fontId="5"/>
  </si>
  <si>
    <t>　　水道光熱費</t>
    <rPh sb="2" eb="4">
      <t>スイドウ</t>
    </rPh>
    <rPh sb="4" eb="7">
      <t>コウネツヒ</t>
    </rPh>
    <phoneticPr fontId="5"/>
  </si>
  <si>
    <t>　　消耗品費</t>
    <rPh sb="2" eb="5">
      <t>ショウモウヒン</t>
    </rPh>
    <rPh sb="5" eb="6">
      <t>ヒ</t>
    </rPh>
    <phoneticPr fontId="5"/>
  </si>
  <si>
    <t>　　通信費</t>
    <rPh sb="2" eb="4">
      <t>ツウシン</t>
    </rPh>
    <rPh sb="4" eb="5">
      <t>ヒ</t>
    </rPh>
    <phoneticPr fontId="5"/>
  </si>
  <si>
    <t>　　修繕費</t>
    <rPh sb="2" eb="5">
      <t>シュウゼンヒ</t>
    </rPh>
    <phoneticPr fontId="5"/>
  </si>
  <si>
    <t>　　警備費</t>
    <rPh sb="2" eb="5">
      <t>ケイビヒ</t>
    </rPh>
    <phoneticPr fontId="5"/>
  </si>
  <si>
    <t>　　支払手数料</t>
    <rPh sb="2" eb="4">
      <t>シハラ</t>
    </rPh>
    <rPh sb="4" eb="7">
      <t>テスウリョウ</t>
    </rPh>
    <phoneticPr fontId="5"/>
  </si>
  <si>
    <t>　　ロイヤリティ</t>
    <phoneticPr fontId="5"/>
  </si>
  <si>
    <t>　　社員</t>
    <rPh sb="2" eb="4">
      <t>シャイン</t>
    </rPh>
    <phoneticPr fontId="5"/>
  </si>
  <si>
    <t>　　パートタイマー①</t>
    <phoneticPr fontId="5"/>
  </si>
  <si>
    <t>　　パートタイマー②</t>
    <phoneticPr fontId="5"/>
  </si>
  <si>
    <t>　　法定福利費</t>
    <rPh sb="2" eb="7">
      <t>ホウテ</t>
    </rPh>
    <phoneticPr fontId="5"/>
  </si>
  <si>
    <t>　　交通費</t>
    <rPh sb="2" eb="5">
      <t>コウツウヒ</t>
    </rPh>
    <phoneticPr fontId="5"/>
  </si>
  <si>
    <t>　　LP制作費</t>
    <rPh sb="4" eb="7">
      <t>セイサクヒ</t>
    </rPh>
    <phoneticPr fontId="5"/>
  </si>
  <si>
    <t>　　紙媒体</t>
    <rPh sb="2" eb="3">
      <t>カミ</t>
    </rPh>
    <rPh sb="3" eb="5">
      <t>バイタイ</t>
    </rPh>
    <phoneticPr fontId="5"/>
  </si>
  <si>
    <t>　　Web</t>
    <phoneticPr fontId="5"/>
  </si>
  <si>
    <t>　　地代家賃</t>
    <phoneticPr fontId="5"/>
  </si>
  <si>
    <t>　　水道光熱費</t>
    <phoneticPr fontId="5"/>
  </si>
  <si>
    <t>　　消耗品費</t>
    <phoneticPr fontId="5"/>
  </si>
  <si>
    <t>　　修繕費</t>
    <phoneticPr fontId="5"/>
  </si>
  <si>
    <t>　　警備費用</t>
    <phoneticPr fontId="5"/>
  </si>
  <si>
    <t>　　支払手数料</t>
    <rPh sb="4" eb="7">
      <t>テスウリョウ</t>
    </rPh>
    <phoneticPr fontId="5"/>
  </si>
  <si>
    <t>　　リース料</t>
    <rPh sb="5" eb="6">
      <t>リョウ</t>
    </rPh>
    <phoneticPr fontId="5"/>
  </si>
  <si>
    <t>　　内装工事</t>
    <rPh sb="2" eb="4">
      <t>ナイソウ</t>
    </rPh>
    <rPh sb="4" eb="6">
      <t>コウジ</t>
    </rPh>
    <phoneticPr fontId="5"/>
  </si>
  <si>
    <t>　　フィットネス機材</t>
    <rPh sb="8" eb="10">
      <t>キザイ</t>
    </rPh>
    <phoneticPr fontId="5"/>
  </si>
  <si>
    <t>　　加盟金</t>
    <rPh sb="2" eb="5">
      <t>カメイキン</t>
    </rPh>
    <phoneticPr fontId="5"/>
  </si>
  <si>
    <t>　水素水ボトル</t>
    <rPh sb="1" eb="4">
      <t>スイソスイ</t>
    </rPh>
    <phoneticPr fontId="5"/>
  </si>
  <si>
    <t>　水素水サーバー（2台）</t>
    <rPh sb="1" eb="4">
      <t>スイソスイ</t>
    </rPh>
    <rPh sb="10" eb="11">
      <t>ダイ</t>
    </rPh>
    <phoneticPr fontId="5"/>
  </si>
  <si>
    <t>　PT原価（5：5）</t>
    <rPh sb="3" eb="5">
      <t>ゲンカ</t>
    </rPh>
    <phoneticPr fontId="5"/>
  </si>
  <si>
    <t>　　パーソナルトレーニング</t>
    <phoneticPr fontId="5"/>
  </si>
  <si>
    <t>　　オプション</t>
    <phoneticPr fontId="5"/>
  </si>
  <si>
    <t>　　紹介CP調整</t>
    <rPh sb="2" eb="4">
      <t>ショウカイ</t>
    </rPh>
    <rPh sb="6" eb="8">
      <t>チョウセイ</t>
    </rPh>
    <phoneticPr fontId="5"/>
  </si>
  <si>
    <t>　　繁忙期CP調整</t>
    <rPh sb="2" eb="5">
      <t>ハンボウキ</t>
    </rPh>
    <rPh sb="7" eb="9">
      <t>チョウセイ</t>
    </rPh>
    <phoneticPr fontId="5"/>
  </si>
  <si>
    <t>　　客単価</t>
    <rPh sb="2" eb="5">
      <t>キャクタンカ</t>
    </rPh>
    <phoneticPr fontId="5"/>
  </si>
  <si>
    <t>　　会員数増減</t>
    <rPh sb="2" eb="4">
      <t>カイイン</t>
    </rPh>
    <rPh sb="4" eb="5">
      <t>スウ</t>
    </rPh>
    <rPh sb="5" eb="7">
      <t>ゾウゲン</t>
    </rPh>
    <phoneticPr fontId="5"/>
  </si>
  <si>
    <t>　　退会者</t>
    <phoneticPr fontId="5"/>
  </si>
  <si>
    <t>　　入会者</t>
    <rPh sb="2" eb="5">
      <t>ニュウカイシャ</t>
    </rPh>
    <phoneticPr fontId="5"/>
  </si>
  <si>
    <t>　　退会者</t>
    <rPh sb="2" eb="4">
      <t>タイカイ</t>
    </rPh>
    <rPh sb="4" eb="5">
      <t>シャ</t>
    </rPh>
    <phoneticPr fontId="5"/>
  </si>
  <si>
    <t>商品・売上原価</t>
    <rPh sb="0" eb="2">
      <t>ショウヒン</t>
    </rPh>
    <rPh sb="3" eb="5">
      <t>ウリアゲ</t>
    </rPh>
    <rPh sb="5" eb="7">
      <t>ゲンカ</t>
    </rPh>
    <phoneticPr fontId="5"/>
  </si>
  <si>
    <t>　投資回収進捗</t>
    <rPh sb="1" eb="3">
      <t>トウシ</t>
    </rPh>
    <rPh sb="3" eb="5">
      <t>カイシュウ</t>
    </rPh>
    <rPh sb="5" eb="7">
      <t>シンチョク</t>
    </rPh>
    <phoneticPr fontId="5"/>
  </si>
  <si>
    <t>投資回収進捗</t>
    <rPh sb="0" eb="4">
      <t>トウシカイシュウ</t>
    </rPh>
    <rPh sb="4" eb="6">
      <t>シンチョク</t>
    </rPh>
    <phoneticPr fontId="5"/>
  </si>
  <si>
    <t>内装工事</t>
    <rPh sb="0" eb="4">
      <t>ナイソウコウジ</t>
    </rPh>
    <phoneticPr fontId="5"/>
  </si>
  <si>
    <t>単位：千円（平均客単価除く）</t>
  </si>
  <si>
    <t>銀行融資（元利均等返済）</t>
    <rPh sb="0" eb="2">
      <t>ギンコウ</t>
    </rPh>
    <rPh sb="2" eb="4">
      <t>ユウシ</t>
    </rPh>
    <phoneticPr fontId="5"/>
  </si>
  <si>
    <t>リース（月額固定）</t>
    <rPh sb="4" eb="6">
      <t>ゲツガク</t>
    </rPh>
    <rPh sb="6" eb="8">
      <t>コテイ</t>
    </rPh>
    <phoneticPr fontId="5"/>
  </si>
  <si>
    <t>3ヶ月前</t>
    <rPh sb="2" eb="3">
      <t>ゲツ</t>
    </rPh>
    <rPh sb="3" eb="4">
      <t>マエ</t>
    </rPh>
    <phoneticPr fontId="5"/>
  </si>
  <si>
    <t>広告予算</t>
    <rPh sb="0" eb="2">
      <t>コウコク</t>
    </rPh>
    <rPh sb="2" eb="4">
      <t>ヨサン</t>
    </rPh>
    <phoneticPr fontId="5"/>
  </si>
  <si>
    <t>　WEB広告</t>
    <rPh sb="4" eb="6">
      <t>コウコク</t>
    </rPh>
    <phoneticPr fontId="5"/>
  </si>
  <si>
    <t>獲得パーコスト</t>
    <rPh sb="0" eb="2">
      <t>カクトク</t>
    </rPh>
    <phoneticPr fontId="5"/>
  </si>
  <si>
    <t>　料率</t>
    <rPh sb="1" eb="3">
      <t>リョウリツ</t>
    </rPh>
    <phoneticPr fontId="5"/>
  </si>
  <si>
    <t>　対象設備額</t>
    <rPh sb="1" eb="3">
      <t>タイショウ</t>
    </rPh>
    <rPh sb="3" eb="5">
      <t>セツビ</t>
    </rPh>
    <rPh sb="5" eb="6">
      <t>ガク</t>
    </rPh>
    <phoneticPr fontId="5"/>
  </si>
  <si>
    <t>OPEN</t>
    <phoneticPr fontId="5"/>
  </si>
  <si>
    <t>前月</t>
    <rPh sb="0" eb="2">
      <t>ゼンゲツ</t>
    </rPh>
    <phoneticPr fontId="5"/>
  </si>
  <si>
    <t>前々月</t>
    <rPh sb="0" eb="3">
      <t>ゼンゼンゲツ</t>
    </rPh>
    <phoneticPr fontId="5"/>
  </si>
  <si>
    <t>2ヶ月目</t>
    <rPh sb="2" eb="4">
      <t>ゲツメ</t>
    </rPh>
    <phoneticPr fontId="5"/>
  </si>
  <si>
    <t>3ヶ月目</t>
    <rPh sb="2" eb="4">
      <t>ゲツメ</t>
    </rPh>
    <phoneticPr fontId="5"/>
  </si>
  <si>
    <t>4ヶ月目</t>
    <rPh sb="2" eb="4">
      <t>ゲツメ</t>
    </rPh>
    <phoneticPr fontId="5"/>
  </si>
  <si>
    <t>5ヶ月目</t>
    <rPh sb="2" eb="4">
      <t>ゲツメ</t>
    </rPh>
    <phoneticPr fontId="5"/>
  </si>
  <si>
    <t>6ヶ月目</t>
    <rPh sb="2" eb="4">
      <t>ゲツメ</t>
    </rPh>
    <phoneticPr fontId="5"/>
  </si>
  <si>
    <t>7ヶ月目</t>
    <rPh sb="2" eb="4">
      <t>ゲツメ</t>
    </rPh>
    <phoneticPr fontId="5"/>
  </si>
  <si>
    <t>8ヶ月目</t>
    <rPh sb="2" eb="4">
      <t>ゲツメ</t>
    </rPh>
    <phoneticPr fontId="5"/>
  </si>
  <si>
    <t>累積入会者数（名）</t>
    <rPh sb="0" eb="2">
      <t>ルイセキ</t>
    </rPh>
    <rPh sb="2" eb="5">
      <t>ニュウカイシャ</t>
    </rPh>
    <rPh sb="5" eb="6">
      <t>スウ</t>
    </rPh>
    <rPh sb="7" eb="8">
      <t>メイ</t>
    </rPh>
    <phoneticPr fontId="5"/>
  </si>
  <si>
    <t>入会者数（名）</t>
    <rPh sb="0" eb="3">
      <t>ニュウカイシャ</t>
    </rPh>
    <rPh sb="3" eb="4">
      <t>スウ</t>
    </rPh>
    <phoneticPr fontId="5"/>
  </si>
  <si>
    <t>9ヶ月目</t>
    <rPh sb="2" eb="4">
      <t>ゲツメ</t>
    </rPh>
    <phoneticPr fontId="5"/>
  </si>
  <si>
    <t>10ヶ月目</t>
    <rPh sb="3" eb="5">
      <t>ゲツメ</t>
    </rPh>
    <phoneticPr fontId="5"/>
  </si>
  <si>
    <t>11ヶ月目</t>
    <rPh sb="3" eb="5">
      <t>ゲツメ</t>
    </rPh>
    <phoneticPr fontId="5"/>
  </si>
  <si>
    <t>12ヶ月目</t>
    <rPh sb="3" eb="5">
      <t>ゲツメ</t>
    </rPh>
    <phoneticPr fontId="5"/>
  </si>
  <si>
    <t>第1期</t>
    <rPh sb="0" eb="1">
      <t>ダイ</t>
    </rPh>
    <rPh sb="2" eb="3">
      <t>キ</t>
    </rPh>
    <phoneticPr fontId="5"/>
  </si>
  <si>
    <t>第2期</t>
    <rPh sb="0" eb="1">
      <t>ダイ</t>
    </rPh>
    <rPh sb="2" eb="3">
      <t>キ</t>
    </rPh>
    <phoneticPr fontId="5"/>
  </si>
  <si>
    <t>第3期</t>
    <rPh sb="0" eb="1">
      <t>ダイ</t>
    </rPh>
    <rPh sb="2" eb="3">
      <t>キ</t>
    </rPh>
    <phoneticPr fontId="5"/>
  </si>
  <si>
    <t>第4期</t>
    <rPh sb="0" eb="1">
      <t>ダイ</t>
    </rPh>
    <rPh sb="2" eb="3">
      <t>キ</t>
    </rPh>
    <phoneticPr fontId="5"/>
  </si>
  <si>
    <t>第5期</t>
    <rPh sb="0" eb="1">
      <t>ダイ</t>
    </rPh>
    <rPh sb="2" eb="3">
      <t>キ</t>
    </rPh>
    <phoneticPr fontId="5"/>
  </si>
  <si>
    <t>第6期</t>
    <rPh sb="0" eb="1">
      <t>ダイ</t>
    </rPh>
    <rPh sb="2" eb="3">
      <t>キ</t>
    </rPh>
    <phoneticPr fontId="5"/>
  </si>
  <si>
    <t>第7期</t>
    <rPh sb="0" eb="1">
      <t>ダイ</t>
    </rPh>
    <rPh sb="2" eb="3">
      <t>キ</t>
    </rPh>
    <phoneticPr fontId="5"/>
  </si>
  <si>
    <t>第8期</t>
    <rPh sb="0" eb="1">
      <t>ダイ</t>
    </rPh>
    <rPh sb="2" eb="3">
      <t>キ</t>
    </rPh>
    <phoneticPr fontId="5"/>
  </si>
  <si>
    <t>第9期</t>
    <rPh sb="0" eb="1">
      <t>ダイ</t>
    </rPh>
    <rPh sb="2" eb="3">
      <t>キ</t>
    </rPh>
    <phoneticPr fontId="5"/>
  </si>
  <si>
    <t>第10期</t>
    <rPh sb="0" eb="1">
      <t>ダイ</t>
    </rPh>
    <rPh sb="3" eb="4">
      <t>キ</t>
    </rPh>
    <phoneticPr fontId="5"/>
  </si>
  <si>
    <t>　　平均客単価（単位：円）</t>
    <rPh sb="2" eb="4">
      <t>ヘイキン</t>
    </rPh>
    <rPh sb="4" eb="7">
      <t>キャクタンカ</t>
    </rPh>
    <rPh sb="8" eb="10">
      <t>タンイ</t>
    </rPh>
    <rPh sb="11" eb="12">
      <t>エン</t>
    </rPh>
    <phoneticPr fontId="5"/>
  </si>
  <si>
    <t>　　※客単価はパーソナル売上を除いた月次売上高から在籍会員数を除算して計算しております</t>
    <rPh sb="3" eb="6">
      <t>キャクタンカ</t>
    </rPh>
    <rPh sb="18" eb="20">
      <t>ゲツジ</t>
    </rPh>
    <rPh sb="20" eb="22">
      <t>ウリアゲ</t>
    </rPh>
    <rPh sb="22" eb="23">
      <t>タカ</t>
    </rPh>
    <rPh sb="25" eb="27">
      <t>ザイセキ</t>
    </rPh>
    <rPh sb="27" eb="30">
      <t>カイインスウ</t>
    </rPh>
    <rPh sb="31" eb="33">
      <t>ジョサン</t>
    </rPh>
    <rPh sb="35" eb="37">
      <t>ケイサン</t>
    </rPh>
    <phoneticPr fontId="5"/>
  </si>
  <si>
    <t>OPEN後販促</t>
    <rPh sb="4" eb="5">
      <t>アト</t>
    </rPh>
    <rPh sb="5" eb="7">
      <t>ハンソク</t>
    </rPh>
    <phoneticPr fontId="5"/>
  </si>
  <si>
    <t>集客計画</t>
    <rPh sb="0" eb="2">
      <t>シュウキャク</t>
    </rPh>
    <rPh sb="2" eb="4">
      <t>ケイカク</t>
    </rPh>
    <phoneticPr fontId="5"/>
  </si>
  <si>
    <t>OPEN前 顧客獲得コスト</t>
    <rPh sb="4" eb="5">
      <t>マエ</t>
    </rPh>
    <rPh sb="6" eb="8">
      <t>コキャク</t>
    </rPh>
    <rPh sb="8" eb="10">
      <t>カクトク</t>
    </rPh>
    <phoneticPr fontId="5"/>
  </si>
  <si>
    <t>OPEN後 年平均顧客獲得コスト</t>
    <rPh sb="4" eb="5">
      <t>アト</t>
    </rPh>
    <rPh sb="6" eb="9">
      <t>ネンヘイキン</t>
    </rPh>
    <rPh sb="9" eb="11">
      <t>コキャク</t>
    </rPh>
    <rPh sb="11" eb="13">
      <t>カクトク</t>
    </rPh>
    <phoneticPr fontId="5"/>
  </si>
  <si>
    <t>初年度損益分岐会員数（参考値）：</t>
    <rPh sb="0" eb="3">
      <t>ショネンド</t>
    </rPh>
    <rPh sb="3" eb="5">
      <t>ソンエキ</t>
    </rPh>
    <rPh sb="5" eb="7">
      <t>ブンキ</t>
    </rPh>
    <rPh sb="7" eb="9">
      <t>カイイン</t>
    </rPh>
    <rPh sb="9" eb="10">
      <t>スウ</t>
    </rPh>
    <rPh sb="11" eb="14">
      <t>サンコウチ</t>
    </rPh>
    <phoneticPr fontId="5"/>
  </si>
  <si>
    <t>OPEN前販促</t>
    <rPh sb="4" eb="5">
      <t>マエ</t>
    </rPh>
    <phoneticPr fontId="5"/>
  </si>
  <si>
    <t>　　従業員用駐車場</t>
    <rPh sb="2" eb="5">
      <t>ジュウギョウイン</t>
    </rPh>
    <rPh sb="5" eb="6">
      <t>ヨウ</t>
    </rPh>
    <rPh sb="6" eb="9">
      <t>チュウシャジョウ</t>
    </rPh>
    <phoneticPr fontId="5"/>
  </si>
  <si>
    <t>　従業員用駐車場</t>
    <rPh sb="1" eb="4">
      <t>ジュウギョウイン</t>
    </rPh>
    <rPh sb="4" eb="5">
      <t>ヨウ</t>
    </rPh>
    <rPh sb="5" eb="8">
      <t>チュウシャジョウ</t>
    </rPh>
    <phoneticPr fontId="5"/>
  </si>
  <si>
    <t>現場協力金</t>
    <rPh sb="0" eb="2">
      <t>ゲンバ</t>
    </rPh>
    <rPh sb="2" eb="5">
      <t>キョウリョクキン</t>
    </rPh>
    <phoneticPr fontId="5"/>
  </si>
  <si>
    <t>想定事業者</t>
    <rPh sb="0" eb="2">
      <t>ソウテイ</t>
    </rPh>
    <rPh sb="2" eb="5">
      <t>ジギョウシャ</t>
    </rPh>
    <phoneticPr fontId="5"/>
  </si>
  <si>
    <t>フィットネクサス本部</t>
    <rPh sb="8" eb="10">
      <t>ホンブ</t>
    </rPh>
    <phoneticPr fontId="5"/>
  </si>
  <si>
    <t>リース対象物件</t>
    <rPh sb="3" eb="5">
      <t>タイショウ</t>
    </rPh>
    <rPh sb="5" eb="7">
      <t>ブッケン</t>
    </rPh>
    <phoneticPr fontId="5"/>
  </si>
  <si>
    <t>・フィットネス機材</t>
    <rPh sb="7" eb="9">
      <t>キザイ</t>
    </rPh>
    <phoneticPr fontId="5"/>
  </si>
  <si>
    <t>・水素水サーバー</t>
    <rPh sb="1" eb="4">
      <t>スイソスイ</t>
    </rPh>
    <phoneticPr fontId="5"/>
  </si>
  <si>
    <t>4ヶ月前</t>
    <rPh sb="2" eb="3">
      <t>ゲツ</t>
    </rPh>
    <rPh sb="3" eb="4">
      <t>マエ</t>
    </rPh>
    <phoneticPr fontId="5"/>
  </si>
  <si>
    <t>集客目標達成率（退会数を加味しない）</t>
    <rPh sb="0" eb="2">
      <t>シュウキャク</t>
    </rPh>
    <rPh sb="2" eb="4">
      <t>モクヒョウ</t>
    </rPh>
    <rPh sb="4" eb="7">
      <t>タッセイリツ</t>
    </rPh>
    <rPh sb="8" eb="10">
      <t>タイカイ</t>
    </rPh>
    <rPh sb="10" eb="11">
      <t>スウ</t>
    </rPh>
    <rPh sb="12" eb="14">
      <t>カミ</t>
    </rPh>
    <phoneticPr fontId="5"/>
  </si>
  <si>
    <t>損益計算（月次平均）</t>
    <rPh sb="0" eb="2">
      <t>ソンエキ</t>
    </rPh>
    <rPh sb="2" eb="4">
      <t>ケイサン</t>
    </rPh>
    <rPh sb="5" eb="7">
      <t>ゲツジ</t>
    </rPh>
    <rPh sb="7" eb="9">
      <t>ヘイキン</t>
    </rPh>
    <phoneticPr fontId="5"/>
  </si>
  <si>
    <t>120ヶ月平均</t>
    <rPh sb="4" eb="5">
      <t>ゲツ</t>
    </rPh>
    <rPh sb="5" eb="7">
      <t>ヘイキン</t>
    </rPh>
    <phoneticPr fontId="5"/>
  </si>
  <si>
    <t>※モデル店集客実績に対しての集客パーセンテージ</t>
    <rPh sb="4" eb="5">
      <t>ミセ</t>
    </rPh>
    <rPh sb="5" eb="7">
      <t>シュウキャク</t>
    </rPh>
    <rPh sb="7" eb="9">
      <t>ジッセキ</t>
    </rPh>
    <rPh sb="10" eb="11">
      <t>タイ</t>
    </rPh>
    <rPh sb="14" eb="16">
      <t>シュウキャク</t>
    </rPh>
    <phoneticPr fontId="5"/>
  </si>
  <si>
    <t>会員構成比</t>
    <rPh sb="0" eb="2">
      <t>カイイン</t>
    </rPh>
    <rPh sb="2" eb="4">
      <t>コウセイ</t>
    </rPh>
    <rPh sb="4" eb="5">
      <t>ヒ</t>
    </rPh>
    <phoneticPr fontId="5"/>
  </si>
  <si>
    <t>　</t>
    <phoneticPr fontId="5"/>
  </si>
  <si>
    <t>　元の価格</t>
    <rPh sb="1" eb="2">
      <t>モト</t>
    </rPh>
    <rPh sb="3" eb="5">
      <t>カカク</t>
    </rPh>
    <phoneticPr fontId="5"/>
  </si>
  <si>
    <t>　価格弾力性係数</t>
    <rPh sb="1" eb="3">
      <t>カカク</t>
    </rPh>
    <rPh sb="3" eb="6">
      <t>ダンリョクセイ</t>
    </rPh>
    <rPh sb="6" eb="8">
      <t>ケイスウ</t>
    </rPh>
    <phoneticPr fontId="5"/>
  </si>
  <si>
    <t>　　　　</t>
    <phoneticPr fontId="5"/>
  </si>
  <si>
    <t>募集会費差額による入会・集客率への影響予測</t>
    <rPh sb="0" eb="2">
      <t>ボシュウ</t>
    </rPh>
    <rPh sb="2" eb="4">
      <t>カイヒ</t>
    </rPh>
    <rPh sb="4" eb="6">
      <t>サガク</t>
    </rPh>
    <rPh sb="9" eb="11">
      <t>ニュウカイ</t>
    </rPh>
    <rPh sb="12" eb="14">
      <t>シュウキャク</t>
    </rPh>
    <rPh sb="19" eb="21">
      <t>ヨソク</t>
    </rPh>
    <phoneticPr fontId="5"/>
  </si>
  <si>
    <t>　影響予測値</t>
    <rPh sb="1" eb="3">
      <t>エイキョウ</t>
    </rPh>
    <rPh sb="3" eb="6">
      <t>ヨソクチ</t>
    </rPh>
    <phoneticPr fontId="5"/>
  </si>
  <si>
    <t>※開業1～3ヶ月目まで</t>
    <rPh sb="1" eb="3">
      <t>カイギョウ</t>
    </rPh>
    <rPh sb="7" eb="9">
      <t>ゲツメ</t>
    </rPh>
    <phoneticPr fontId="5"/>
  </si>
  <si>
    <t>※開業4～10ヶ月目まで</t>
    <rPh sb="1" eb="3">
      <t>カイギョウ</t>
    </rPh>
    <rPh sb="8" eb="10">
      <t>ゲツメ</t>
    </rPh>
    <phoneticPr fontId="5"/>
  </si>
  <si>
    <t>損益計算（年次）</t>
    <rPh sb="0" eb="2">
      <t>ソンエキ</t>
    </rPh>
    <rPh sb="2" eb="4">
      <t>ケイサン</t>
    </rPh>
    <rPh sb="5" eb="7">
      <t>ネンジ</t>
    </rPh>
    <phoneticPr fontId="5"/>
  </si>
  <si>
    <r>
      <t>　└〈基本式〉
　　　入会数の変化率＝</t>
    </r>
    <r>
      <rPr>
        <b/>
        <sz val="16"/>
        <rFont val="Noto Sans JP"/>
        <family val="3"/>
        <charset val="128"/>
      </rPr>
      <t>1－</t>
    </r>
    <r>
      <rPr>
        <b/>
        <sz val="16"/>
        <rFont val="Calibri"/>
        <family val="3"/>
        <charset val="161"/>
      </rPr>
      <t>ε</t>
    </r>
    <r>
      <rPr>
        <b/>
        <sz val="16"/>
        <rFont val="Noto Sans JP"/>
        <family val="3"/>
        <charset val="128"/>
      </rPr>
      <t>×</t>
    </r>
    <r>
      <rPr>
        <b/>
        <sz val="16"/>
        <rFont val="Calibri"/>
        <family val="3"/>
        <charset val="161"/>
      </rPr>
      <t>Δ</t>
    </r>
    <r>
      <rPr>
        <b/>
        <sz val="16"/>
        <rFont val="Noto Sans JP"/>
        <family val="3"/>
        <charset val="128"/>
      </rPr>
      <t>P/P</t>
    </r>
    <r>
      <rPr>
        <sz val="16"/>
        <rFont val="Noto Sans JP"/>
        <family val="3"/>
        <charset val="128"/>
      </rPr>
      <t xml:space="preserve">
　　　</t>
    </r>
    <r>
      <rPr>
        <sz val="16"/>
        <rFont val="Calibri"/>
        <family val="3"/>
        <charset val="161"/>
      </rPr>
      <t>ε</t>
    </r>
    <r>
      <rPr>
        <sz val="16"/>
        <rFont val="Noto Sans JP"/>
        <family val="3"/>
        <charset val="128"/>
      </rPr>
      <t>：価格弾力係数
　　　</t>
    </r>
    <r>
      <rPr>
        <sz val="16"/>
        <rFont val="Calibri"/>
        <family val="3"/>
        <charset val="161"/>
      </rPr>
      <t>Δ</t>
    </r>
    <r>
      <rPr>
        <sz val="16"/>
        <rFont val="Noto Sans JP"/>
        <family val="3"/>
        <charset val="128"/>
      </rPr>
      <t>P：価格差（例：4000-3000=</t>
    </r>
    <r>
      <rPr>
        <b/>
        <sz val="16"/>
        <rFont val="Noto Sans JP"/>
        <family val="3"/>
        <charset val="128"/>
      </rPr>
      <t>1000</t>
    </r>
    <r>
      <rPr>
        <sz val="16"/>
        <rFont val="Noto Sans JP"/>
        <family val="3"/>
        <charset val="128"/>
      </rPr>
      <t>)
　　　P：元の価格</t>
    </r>
    <rPh sb="3" eb="5">
      <t>キホン</t>
    </rPh>
    <rPh sb="5" eb="6">
      <t>シキ</t>
    </rPh>
    <rPh sb="50" eb="51">
      <t>レイ</t>
    </rPh>
    <phoneticPr fontId="5"/>
  </si>
  <si>
    <t>※フィットネス事業：0.3～0.7レンジで変動</t>
    <rPh sb="7" eb="9">
      <t>ジギョウ</t>
    </rPh>
    <rPh sb="21" eb="23">
      <t>ヘンドウ</t>
    </rPh>
    <phoneticPr fontId="5"/>
  </si>
  <si>
    <t>　集客達成率</t>
    <rPh sb="1" eb="3">
      <t>シュウキャク</t>
    </rPh>
    <rPh sb="3" eb="6">
      <t>タッセイリツ</t>
    </rPh>
    <phoneticPr fontId="5"/>
  </si>
  <si>
    <t>合計（リース契約分含む）</t>
    <rPh sb="0" eb="2">
      <t>ゴウケイ</t>
    </rPh>
    <rPh sb="6" eb="8">
      <t>ケイヤク</t>
    </rPh>
    <rPh sb="8" eb="9">
      <t>ブン</t>
    </rPh>
    <rPh sb="9" eb="10">
      <t>フク</t>
    </rPh>
    <phoneticPr fontId="12"/>
  </si>
  <si>
    <t>　　└昇給率</t>
    <rPh sb="3" eb="6">
      <t>ショウキュウリツ</t>
    </rPh>
    <phoneticPr fontId="5"/>
  </si>
  <si>
    <t>　マシン台数</t>
    <rPh sb="4" eb="6">
      <t>ダイスウ</t>
    </rPh>
    <phoneticPr fontId="5"/>
  </si>
  <si>
    <t>　MAX在籍数（～5期目）</t>
    <rPh sb="4" eb="7">
      <t>ザイセキスウ</t>
    </rPh>
    <rPh sb="10" eb="12">
      <t>キメ</t>
    </rPh>
    <phoneticPr fontId="5"/>
  </si>
  <si>
    <t>　対応可能人数</t>
    <rPh sb="1" eb="3">
      <t>タイオウ</t>
    </rPh>
    <rPh sb="3" eb="5">
      <t>カノウ</t>
    </rPh>
    <rPh sb="5" eb="7">
      <t>ニンズウ</t>
    </rPh>
    <phoneticPr fontId="5"/>
  </si>
  <si>
    <t>　ピークタイム利用人数</t>
    <rPh sb="7" eb="11">
      <t>リヨウニンズウ</t>
    </rPh>
    <phoneticPr fontId="5"/>
  </si>
  <si>
    <t>　稼働係数</t>
    <rPh sb="1" eb="3">
      <t>カドウ</t>
    </rPh>
    <rPh sb="3" eb="5">
      <t>ケイスウ</t>
    </rPh>
    <phoneticPr fontId="5"/>
  </si>
  <si>
    <t>募集キャパシティ</t>
    <rPh sb="0" eb="2">
      <t>ボシュウ</t>
    </rPh>
    <phoneticPr fontId="5"/>
  </si>
  <si>
    <t>※武生中央公園実績値</t>
    <rPh sb="1" eb="7">
      <t>タケ</t>
    </rPh>
    <rPh sb="7" eb="10">
      <t>ジッセキチ</t>
    </rPh>
    <phoneticPr fontId="5"/>
  </si>
  <si>
    <r>
      <t>※3期目</t>
    </r>
    <r>
      <rPr>
        <u/>
        <sz val="14"/>
        <color theme="1"/>
        <rFont val="Noto Sans JP"/>
        <family val="3"/>
        <charset val="128"/>
      </rPr>
      <t>7月度</t>
    </r>
    <r>
      <rPr>
        <sz val="14"/>
        <color theme="1"/>
        <rFont val="Noto Sans JP"/>
        <family val="3"/>
        <charset val="128"/>
      </rPr>
      <t>より募集開始</t>
    </r>
    <rPh sb="2" eb="4">
      <t>キメ</t>
    </rPh>
    <rPh sb="5" eb="7">
      <t>ガツド</t>
    </rPh>
    <rPh sb="9" eb="11">
      <t>ボシュウ</t>
    </rPh>
    <rPh sb="11" eb="13">
      <t>カイシ</t>
    </rPh>
    <phoneticPr fontId="5"/>
  </si>
  <si>
    <r>
      <t>※3期目</t>
    </r>
    <r>
      <rPr>
        <u/>
        <sz val="14"/>
        <color theme="1"/>
        <rFont val="Noto Sans JP"/>
        <family val="3"/>
        <charset val="128"/>
      </rPr>
      <t>7月度</t>
    </r>
    <r>
      <rPr>
        <sz val="14"/>
        <color theme="1"/>
        <rFont val="Noto Sans JP"/>
        <family val="3"/>
        <charset val="128"/>
      </rPr>
      <t>よりCP停止</t>
    </r>
    <rPh sb="2" eb="4">
      <t>キメ</t>
    </rPh>
    <rPh sb="5" eb="7">
      <t>ガツド</t>
    </rPh>
    <rPh sb="11" eb="13">
      <t>テイシ</t>
    </rPh>
    <phoneticPr fontId="5"/>
  </si>
  <si>
    <t>設計費</t>
    <rPh sb="0" eb="2">
      <t>セッケイ</t>
    </rPh>
    <rPh sb="2" eb="3">
      <t>ヒ</t>
    </rPh>
    <phoneticPr fontId="5"/>
  </si>
  <si>
    <t>現場管理・製作管理・設計管理・法定福利費</t>
    <rPh sb="0" eb="4">
      <t>ゲンバカンリ</t>
    </rPh>
    <rPh sb="5" eb="7">
      <t>セイサク</t>
    </rPh>
    <rPh sb="7" eb="9">
      <t>カンリ</t>
    </rPh>
    <rPh sb="10" eb="12">
      <t>セッケイ</t>
    </rPh>
    <rPh sb="12" eb="14">
      <t>カンリ</t>
    </rPh>
    <rPh sb="15" eb="19">
      <t>ホウテイフクリ</t>
    </rPh>
    <rPh sb="19" eb="20">
      <t>ヒ</t>
    </rPh>
    <phoneticPr fontId="5"/>
  </si>
  <si>
    <t>詳細別途</t>
    <rPh sb="0" eb="2">
      <t>ショウサイ</t>
    </rPh>
    <rPh sb="2" eb="4">
      <t>ベット</t>
    </rPh>
    <phoneticPr fontId="12"/>
  </si>
  <si>
    <t>一部メーカー対応想定</t>
    <rPh sb="0" eb="2">
      <t>イチブ</t>
    </rPh>
    <rPh sb="6" eb="8">
      <t>タイオウ</t>
    </rPh>
    <rPh sb="8" eb="10">
      <t>ソウテイ</t>
    </rPh>
    <phoneticPr fontId="5"/>
  </si>
  <si>
    <t>セキュリティシステム</t>
    <phoneticPr fontId="12"/>
  </si>
  <si>
    <t>Wi-Fi</t>
    <phoneticPr fontId="5"/>
  </si>
  <si>
    <t>　　会員管理システム（hacomono）</t>
    <rPh sb="2" eb="4">
      <t>カイイン</t>
    </rPh>
    <rPh sb="4" eb="6">
      <t>カンリ</t>
    </rPh>
    <phoneticPr fontId="5"/>
  </si>
  <si>
    <t>　　USEN MUSIC</t>
    <phoneticPr fontId="5"/>
  </si>
  <si>
    <t>　　USEN NETWORKS（Wi-Fi）</t>
    <phoneticPr fontId="5"/>
  </si>
  <si>
    <t>館内BGM</t>
    <rPh sb="0" eb="2">
      <t>カンンアイ</t>
    </rPh>
    <phoneticPr fontId="5"/>
  </si>
  <si>
    <t>hacomono基本パック・初期費用</t>
    <rPh sb="8" eb="10">
      <t>キホン</t>
    </rPh>
    <rPh sb="14" eb="18">
      <t>ショキヒヨウ</t>
    </rPh>
    <phoneticPr fontId="5"/>
  </si>
  <si>
    <t>ALSOKガードシステム＋AEDベネハート、防犯カメラシステム</t>
    <rPh sb="22" eb="24">
      <t>ボウハン</t>
    </rPh>
    <phoneticPr fontId="5"/>
  </si>
  <si>
    <t>工事期間賃料50％×2ヶ月想定</t>
    <rPh sb="0" eb="4">
      <t>コウジキカン</t>
    </rPh>
    <rPh sb="4" eb="6">
      <t>チンリョウ</t>
    </rPh>
    <rPh sb="12" eb="13">
      <t>ゲツ</t>
    </rPh>
    <rPh sb="13" eb="15">
      <t>ソウテイ</t>
    </rPh>
    <phoneticPr fontId="5"/>
  </si>
  <si>
    <t>80</t>
    <phoneticPr fontId="5"/>
  </si>
  <si>
    <t>　紙媒体</t>
    <rPh sb="1" eb="2">
      <t>カミ</t>
    </rPh>
    <rPh sb="2" eb="4">
      <t>バイタイ</t>
    </rPh>
    <phoneticPr fontId="5"/>
  </si>
  <si>
    <t>　LP制作費</t>
    <rPh sb="3" eb="6">
      <t>セイサクヒ</t>
    </rPh>
    <phoneticPr fontId="5"/>
  </si>
  <si>
    <t>　自己資本比率</t>
    <rPh sb="1" eb="3">
      <t>ジコ</t>
    </rPh>
    <rPh sb="3" eb="5">
      <t>シホン</t>
    </rPh>
    <rPh sb="5" eb="7">
      <t>ヒリツ</t>
    </rPh>
    <phoneticPr fontId="5"/>
  </si>
  <si>
    <t>Deep Forest ◯◯店</t>
    <rPh sb="14" eb="15">
      <t>ミセ</t>
    </rPh>
    <phoneticPr fontId="5"/>
  </si>
  <si>
    <t>※居抜き想定（空調・水回り工事無し）</t>
    <rPh sb="1" eb="3">
      <t>イヌ</t>
    </rPh>
    <rPh sb="4" eb="6">
      <t>ソウテイ</t>
    </rPh>
    <rPh sb="7" eb="9">
      <t>クウチョウ</t>
    </rPh>
    <rPh sb="10" eb="12">
      <t>ミズマワ</t>
    </rPh>
    <rPh sb="13" eb="15">
      <t>コウジ</t>
    </rPh>
    <rPh sb="15" eb="16">
      <t>ナ</t>
    </rPh>
    <phoneticPr fontId="5"/>
  </si>
  <si>
    <t>5</t>
  </si>
  <si>
    <t>FWラバーマット施工費</t>
    <rPh sb="8" eb="11">
      <t>セコウヒ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</si>
</sst>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Red]\(#,##0\)"/>
    <numFmt numFmtId="178" formatCode="#,##0_ ;[Red]\-#,##0\ "/>
    <numFmt numFmtId="179" formatCode="@&quot;坪&quot;"/>
    <numFmt numFmtId="180" formatCode="&quot;¥&quot;#,##0_);[Red]\(&quot;¥&quot;#,##0\)"/>
    <numFmt numFmtId="181" formatCode="@&quot;月&quot;"/>
    <numFmt numFmtId="182" formatCode="0_);[Red]\(0\)"/>
    <numFmt numFmtId="183" formatCode="@&quot;名&quot;"/>
  </numFmts>
  <fonts count="39">
    <font>
      <sz val="11"/>
      <color theme="1"/>
      <name val="游ゴシック"/>
      <family val="2"/>
      <charset val="128"/>
      <scheme val="minor"/>
    </font>
    <font>
      <sz val="11"/>
      <color theme="1"/>
      <name val="Noto Sans JP"/>
      <family val="2"/>
      <charset val="128"/>
    </font>
    <font>
      <sz val="11"/>
      <color theme="1"/>
      <name val="Noto Sans JP"/>
      <family val="2"/>
      <charset val="128"/>
    </font>
    <font>
      <sz val="11"/>
      <color theme="1"/>
      <name val="Noto Sans JP"/>
      <family val="2"/>
      <charset val="128"/>
    </font>
    <font>
      <sz val="11"/>
      <color theme="1"/>
      <name val="游ゴシック"/>
      <family val="2"/>
      <charset val="128"/>
      <scheme val="minor"/>
    </font>
    <font>
      <sz val="6"/>
      <name val="游ゴシック"/>
      <family val="2"/>
      <charset val="128"/>
      <scheme val="minor"/>
    </font>
    <font>
      <sz val="11"/>
      <name val="ＭＳ Ｐゴシック"/>
      <family val="3"/>
      <charset val="128"/>
    </font>
    <font>
      <b/>
      <sz val="9"/>
      <color indexed="81"/>
      <name val="MS P ゴシック"/>
      <family val="3"/>
      <charset val="128"/>
    </font>
    <font>
      <sz val="11"/>
      <color indexed="8"/>
      <name val="游ゴシック"/>
      <family val="3"/>
      <charset val="128"/>
    </font>
    <font>
      <sz val="11"/>
      <color theme="1"/>
      <name val="Arial"/>
      <family val="2"/>
    </font>
    <font>
      <sz val="9"/>
      <color indexed="81"/>
      <name val="MS P ゴシック"/>
      <family val="3"/>
      <charset val="128"/>
    </font>
    <font>
      <sz val="11"/>
      <color indexed="81"/>
      <name val="MS P ゴシック"/>
      <family val="3"/>
      <charset val="128"/>
    </font>
    <font>
      <sz val="6"/>
      <name val="ＭＳ Ｐゴシック"/>
      <family val="2"/>
      <charset val="128"/>
    </font>
    <font>
      <u/>
      <sz val="11"/>
      <color theme="10"/>
      <name val="游ゴシック"/>
      <family val="2"/>
      <charset val="128"/>
      <scheme val="minor"/>
    </font>
    <font>
      <b/>
      <sz val="16"/>
      <name val="Noto Sans JP"/>
      <family val="3"/>
      <charset val="128"/>
    </font>
    <font>
      <b/>
      <u/>
      <sz val="16"/>
      <color theme="1"/>
      <name val="Noto Sans JP"/>
      <family val="3"/>
      <charset val="128"/>
    </font>
    <font>
      <b/>
      <sz val="14"/>
      <color theme="0"/>
      <name val="Noto Sans JP"/>
      <family val="3"/>
      <charset val="128"/>
    </font>
    <font>
      <b/>
      <sz val="14"/>
      <color theme="1"/>
      <name val="Noto Sans JP"/>
      <family val="3"/>
      <charset val="128"/>
    </font>
    <font>
      <sz val="14"/>
      <color theme="1"/>
      <name val="Noto Sans JP"/>
      <family val="3"/>
      <charset val="128"/>
    </font>
    <font>
      <sz val="14"/>
      <name val="Noto Sans JP"/>
      <family val="3"/>
      <charset val="128"/>
    </font>
    <font>
      <b/>
      <sz val="14"/>
      <name val="Noto Sans JP"/>
      <family val="3"/>
      <charset val="128"/>
    </font>
    <font>
      <sz val="16"/>
      <name val="Noto Sans JP"/>
      <family val="3"/>
      <charset val="128"/>
    </font>
    <font>
      <b/>
      <u/>
      <sz val="14"/>
      <color theme="1"/>
      <name val="Noto Sans JP"/>
      <family val="3"/>
      <charset val="128"/>
    </font>
    <font>
      <b/>
      <sz val="16"/>
      <color theme="0"/>
      <name val="Noto Sans JP"/>
      <family val="3"/>
      <charset val="128"/>
    </font>
    <font>
      <b/>
      <u/>
      <sz val="16"/>
      <name val="Noto Sans JP"/>
      <family val="3"/>
      <charset val="128"/>
    </font>
    <font>
      <b/>
      <sz val="16"/>
      <color theme="1"/>
      <name val="Noto Sans JP"/>
      <family val="3"/>
      <charset val="128"/>
    </font>
    <font>
      <u/>
      <sz val="14"/>
      <name val="Noto Sans JP"/>
      <family val="3"/>
      <charset val="128"/>
    </font>
    <font>
      <b/>
      <sz val="14"/>
      <color rgb="FFFF0000"/>
      <name val="Noto Sans JP"/>
      <family val="3"/>
      <charset val="128"/>
    </font>
    <font>
      <u/>
      <sz val="14"/>
      <color theme="1"/>
      <name val="Noto Sans JP"/>
      <family val="3"/>
      <charset val="128"/>
    </font>
    <font>
      <b/>
      <sz val="14"/>
      <color rgb="FFC00000"/>
      <name val="Noto Sans JP"/>
      <family val="3"/>
      <charset val="128"/>
    </font>
    <font>
      <sz val="14"/>
      <color rgb="FF000000"/>
      <name val="Noto Sans JP"/>
      <family val="3"/>
      <charset val="128"/>
    </font>
    <font>
      <sz val="14"/>
      <color theme="0"/>
      <name val="Noto Sans JP"/>
      <family val="3"/>
      <charset val="128"/>
    </font>
    <font>
      <sz val="20"/>
      <name val="Noto Sans JP"/>
      <family val="3"/>
      <charset val="128"/>
    </font>
    <font>
      <b/>
      <sz val="20"/>
      <name val="Noto Sans JP"/>
      <family val="3"/>
      <charset val="128"/>
    </font>
    <font>
      <b/>
      <u/>
      <sz val="20"/>
      <color theme="1"/>
      <name val="Noto Sans JP"/>
      <family val="3"/>
      <charset val="128"/>
    </font>
    <font>
      <sz val="16"/>
      <name val="Calibri"/>
      <family val="3"/>
      <charset val="161"/>
    </font>
    <font>
      <b/>
      <sz val="16"/>
      <name val="Calibri"/>
      <family val="3"/>
      <charset val="161"/>
    </font>
    <font>
      <b/>
      <sz val="16"/>
      <color rgb="FF000000"/>
      <name val="Noto Sans JP"/>
      <family val="3"/>
      <charset val="128"/>
    </font>
    <font>
      <u/>
      <sz val="14"/>
      <color rgb="FFC00000"/>
      <name val="Noto Sans JP"/>
      <family val="3"/>
      <charset val="128"/>
    </font>
  </fonts>
  <fills count="21">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002060"/>
        <bgColor indexed="64"/>
      </patternFill>
    </fill>
    <fill>
      <patternFill patternType="solid">
        <fgColor theme="4" tint="-0.249977111117893"/>
        <bgColor indexed="64"/>
      </patternFill>
    </fill>
    <fill>
      <patternFill patternType="solid">
        <fgColor rgb="FFFFEBD4"/>
        <bgColor indexed="64"/>
      </patternFill>
    </fill>
    <fill>
      <patternFill patternType="solid">
        <fgColor rgb="FFF0A8D0"/>
        <bgColor indexed="64"/>
      </patternFill>
    </fill>
    <fill>
      <patternFill patternType="solid">
        <fgColor rgb="FFFFC6C6"/>
        <bgColor indexed="64"/>
      </patternFill>
    </fill>
    <fill>
      <patternFill patternType="solid">
        <fgColor rgb="FF93DA97"/>
        <bgColor indexed="64"/>
      </patternFill>
    </fill>
    <fill>
      <patternFill patternType="solid">
        <fgColor rgb="FFFFE99A"/>
        <bgColor indexed="64"/>
      </patternFill>
    </fill>
    <fill>
      <patternFill patternType="solid">
        <fgColor rgb="FFFF9587"/>
        <bgColor indexed="64"/>
      </patternFill>
    </fill>
    <fill>
      <patternFill patternType="solid">
        <fgColor rgb="FF8DBCC7"/>
        <bgColor indexed="64"/>
      </patternFill>
    </fill>
    <fill>
      <patternFill patternType="solid">
        <fgColor rgb="FFC4E1E6"/>
        <bgColor indexed="64"/>
      </patternFill>
    </fill>
    <fill>
      <patternFill patternType="solid">
        <fgColor rgb="FF0036A2"/>
        <bgColor indexed="64"/>
      </patternFill>
    </fill>
    <fill>
      <patternFill patternType="solid">
        <fgColor rgb="FFCBEDCD"/>
        <bgColor indexed="64"/>
      </patternFill>
    </fill>
    <fill>
      <patternFill patternType="solid">
        <fgColor rgb="FFF2AF2A"/>
        <bgColor indexed="64"/>
      </patternFill>
    </fill>
    <fill>
      <patternFill patternType="solid">
        <fgColor rgb="FFD9E1F2"/>
        <bgColor indexed="64"/>
      </patternFill>
    </fill>
    <fill>
      <patternFill patternType="solid">
        <fgColor rgb="FFC00000"/>
        <bgColor indexed="64"/>
      </patternFill>
    </fill>
    <fill>
      <patternFill patternType="solid">
        <fgColor theme="0" tint="-0.14999847407452621"/>
        <bgColor indexed="64"/>
      </patternFill>
    </fill>
    <fill>
      <patternFill patternType="solid">
        <fgColor rgb="FFFFFF00"/>
        <bgColor indexed="64"/>
      </patternFill>
    </fill>
  </fills>
  <borders count="58">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style="hair">
        <color auto="1"/>
      </left>
      <right/>
      <top/>
      <bottom style="hair">
        <color auto="1"/>
      </bottom>
      <diagonal/>
    </border>
    <border>
      <left/>
      <right style="hair">
        <color auto="1"/>
      </right>
      <top style="hair">
        <color auto="1"/>
      </top>
      <bottom style="hair">
        <color auto="1"/>
      </bottom>
      <diagonal/>
    </border>
    <border>
      <left/>
      <right style="hair">
        <color auto="1"/>
      </right>
      <top/>
      <bottom style="hair">
        <color auto="1"/>
      </bottom>
      <diagonal/>
    </border>
    <border>
      <left style="thin">
        <color indexed="64"/>
      </left>
      <right/>
      <top style="thin">
        <color indexed="64"/>
      </top>
      <bottom style="thin">
        <color indexed="64"/>
      </bottom>
      <diagonal/>
    </border>
    <border diagonalDown="1">
      <left style="hair">
        <color auto="1"/>
      </left>
      <right style="hair">
        <color auto="1"/>
      </right>
      <top style="hair">
        <color auto="1"/>
      </top>
      <bottom style="hair">
        <color auto="1"/>
      </bottom>
      <diagonal style="hair">
        <color auto="1"/>
      </diagonal>
    </border>
    <border>
      <left/>
      <right/>
      <top/>
      <bottom style="hair">
        <color auto="1"/>
      </bottom>
      <diagonal/>
    </border>
    <border>
      <left style="double">
        <color auto="1"/>
      </left>
      <right style="double">
        <color auto="1"/>
      </right>
      <top/>
      <bottom/>
      <diagonal/>
    </border>
    <border>
      <left style="double">
        <color auto="1"/>
      </left>
      <right style="double">
        <color auto="1"/>
      </right>
      <top style="thin">
        <color indexed="64"/>
      </top>
      <bottom style="thin">
        <color indexed="64"/>
      </bottom>
      <diagonal/>
    </border>
    <border>
      <left style="double">
        <color auto="1"/>
      </left>
      <right style="double">
        <color auto="1"/>
      </right>
      <top/>
      <bottom style="hair">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diagonal/>
    </border>
    <border>
      <left style="double">
        <color auto="1"/>
      </left>
      <right style="double">
        <color auto="1"/>
      </right>
      <top style="thin">
        <color indexed="64"/>
      </top>
      <bottom/>
      <diagonal/>
    </border>
    <border diagonalDown="1">
      <left style="hair">
        <color auto="1"/>
      </left>
      <right style="hair">
        <color auto="1"/>
      </right>
      <top style="hair">
        <color auto="1"/>
      </top>
      <bottom style="hair">
        <color auto="1"/>
      </bottom>
      <diagonal style="thin">
        <color auto="1"/>
      </diagonal>
    </border>
    <border>
      <left style="double">
        <color auto="1"/>
      </left>
      <right style="double">
        <color auto="1"/>
      </right>
      <top style="thin">
        <color indexed="64"/>
      </top>
      <bottom style="hair">
        <color auto="1"/>
      </bottom>
      <diagonal/>
    </border>
    <border>
      <left/>
      <right style="thin">
        <color indexed="64"/>
      </right>
      <top style="thin">
        <color indexed="64"/>
      </top>
      <bottom/>
      <diagonal/>
    </border>
    <border>
      <left/>
      <right style="double">
        <color auto="1"/>
      </right>
      <top style="double">
        <color auto="1"/>
      </top>
      <bottom/>
      <diagonal/>
    </border>
    <border>
      <left style="double">
        <color auto="1"/>
      </left>
      <right/>
      <top/>
      <bottom/>
      <diagonal/>
    </border>
    <border>
      <left/>
      <right style="hair">
        <color auto="1"/>
      </right>
      <top/>
      <bottom/>
      <diagonal/>
    </border>
    <border>
      <left style="hair">
        <color auto="1"/>
      </left>
      <right/>
      <top style="hair">
        <color auto="1"/>
      </top>
      <bottom/>
      <diagonal/>
    </border>
    <border>
      <left/>
      <right style="hair">
        <color auto="1"/>
      </right>
      <top style="hair">
        <color auto="1"/>
      </top>
      <bottom/>
      <diagonal/>
    </border>
    <border>
      <left style="thin">
        <color auto="1"/>
      </left>
      <right/>
      <top style="thin">
        <color indexed="64"/>
      </top>
      <bottom/>
      <diagonal/>
    </border>
    <border>
      <left style="thin">
        <color auto="1"/>
      </left>
      <right/>
      <top/>
      <bottom style="thin">
        <color indexed="64"/>
      </bottom>
      <diagonal/>
    </border>
    <border diagonalDown="1">
      <left style="hair">
        <color auto="1"/>
      </left>
      <right/>
      <top style="hair">
        <color auto="1"/>
      </top>
      <bottom style="hair">
        <color auto="1"/>
      </bottom>
      <diagonal style="hair">
        <color auto="1"/>
      </diagonal>
    </border>
    <border diagonalDown="1">
      <left style="hair">
        <color auto="1"/>
      </left>
      <right/>
      <top style="hair">
        <color auto="1"/>
      </top>
      <bottom style="hair">
        <color auto="1"/>
      </bottom>
      <diagonal style="thin">
        <color auto="1"/>
      </diagonal>
    </border>
    <border>
      <left/>
      <right/>
      <top style="hair">
        <color auto="1"/>
      </top>
      <bottom style="hair">
        <color auto="1"/>
      </bottom>
      <diagonal/>
    </border>
    <border diagonalDown="1">
      <left/>
      <right style="hair">
        <color auto="1"/>
      </right>
      <top style="hair">
        <color auto="1"/>
      </top>
      <bottom style="hair">
        <color auto="1"/>
      </bottom>
      <diagonal style="thin">
        <color auto="1"/>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hair">
        <color auto="1"/>
      </left>
      <right style="hair">
        <color auto="1"/>
      </right>
      <top style="hair">
        <color auto="1"/>
      </top>
      <bottom/>
      <diagonal/>
    </border>
    <border>
      <left/>
      <right/>
      <top style="thin">
        <color auto="1"/>
      </top>
      <bottom style="hair">
        <color auto="1"/>
      </bottom>
      <diagonal/>
    </border>
    <border>
      <left/>
      <right/>
      <top/>
      <bottom style="thin">
        <color indexed="64"/>
      </bottom>
      <diagonal/>
    </border>
    <border>
      <left style="double">
        <color auto="1"/>
      </left>
      <right/>
      <top style="thin">
        <color indexed="64"/>
      </top>
      <bottom style="thin">
        <color indexed="64"/>
      </bottom>
      <diagonal/>
    </border>
    <border>
      <left style="double">
        <color auto="1"/>
      </left>
      <right/>
      <top style="hair">
        <color auto="1"/>
      </top>
      <bottom style="hair">
        <color auto="1"/>
      </bottom>
      <diagonal/>
    </border>
    <border>
      <left style="double">
        <color auto="1"/>
      </left>
      <right/>
      <top/>
      <bottom style="hair">
        <color auto="1"/>
      </bottom>
      <diagonal/>
    </border>
    <border>
      <left style="double">
        <color auto="1"/>
      </left>
      <right/>
      <top style="hair">
        <color auto="1"/>
      </top>
      <bottom/>
      <diagonal/>
    </border>
    <border>
      <left/>
      <right style="thin">
        <color indexed="64"/>
      </right>
      <top/>
      <bottom/>
      <diagonal/>
    </border>
    <border>
      <left/>
      <right style="thin">
        <color indexed="64"/>
      </right>
      <top/>
      <bottom style="thin">
        <color indexed="64"/>
      </bottom>
      <diagonal/>
    </border>
    <border>
      <left/>
      <right/>
      <top style="hair">
        <color auto="1"/>
      </top>
      <bottom style="thin">
        <color auto="1"/>
      </bottom>
      <diagonal/>
    </border>
    <border>
      <left style="mediumDashed">
        <color indexed="64"/>
      </left>
      <right/>
      <top/>
      <bottom style="thin">
        <color indexed="64"/>
      </bottom>
      <diagonal/>
    </border>
    <border>
      <left style="mediumDashed">
        <color indexed="64"/>
      </left>
      <right/>
      <top/>
      <bottom/>
      <diagonal/>
    </border>
    <border>
      <left style="mediumDashed">
        <color indexed="64"/>
      </left>
      <right/>
      <top/>
      <bottom style="hair">
        <color auto="1"/>
      </bottom>
      <diagonal/>
    </border>
    <border>
      <left style="mediumDashed">
        <color indexed="64"/>
      </left>
      <right/>
      <top style="hair">
        <color auto="1"/>
      </top>
      <bottom style="thin">
        <color auto="1"/>
      </bottom>
      <diagonal/>
    </border>
    <border>
      <left style="mediumDashed">
        <color indexed="64"/>
      </left>
      <right/>
      <top style="thin">
        <color indexed="64"/>
      </top>
      <bottom style="thin">
        <color indexed="64"/>
      </bottom>
      <diagonal/>
    </border>
    <border>
      <left/>
      <right style="mediumDashed">
        <color indexed="64"/>
      </right>
      <top/>
      <bottom/>
      <diagonal/>
    </border>
  </borders>
  <cellStyleXfs count="17">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6" fillId="0" borderId="0"/>
    <xf numFmtId="0" fontId="8" fillId="0" borderId="0">
      <alignment vertical="center"/>
    </xf>
    <xf numFmtId="0" fontId="6" fillId="0" borderId="0">
      <alignment vertical="center"/>
    </xf>
    <xf numFmtId="9" fontId="8" fillId="0" borderId="0" applyFon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9" fontId="4"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9" fontId="6"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cellStyleXfs>
  <cellXfs count="398">
    <xf numFmtId="0" fontId="0" fillId="0" borderId="0" xfId="0">
      <alignment vertical="center"/>
    </xf>
    <xf numFmtId="0" fontId="18" fillId="0" borderId="0" xfId="0" applyFont="1">
      <alignment vertical="center"/>
    </xf>
    <xf numFmtId="38" fontId="18" fillId="0" borderId="9" xfId="1" applyFont="1" applyFill="1" applyBorder="1" applyAlignment="1" applyProtection="1">
      <alignment vertical="center" shrinkToFit="1"/>
    </xf>
    <xf numFmtId="38" fontId="18" fillId="0" borderId="12" xfId="1" applyFont="1" applyFill="1" applyBorder="1" applyAlignment="1" applyProtection="1">
      <alignment vertical="center" shrinkToFit="1"/>
    </xf>
    <xf numFmtId="38" fontId="18" fillId="0" borderId="14" xfId="1" applyFont="1" applyFill="1" applyBorder="1" applyAlignment="1" applyProtection="1">
      <alignment vertical="center" shrinkToFit="1"/>
    </xf>
    <xf numFmtId="38" fontId="18" fillId="0" borderId="22" xfId="1" applyFont="1" applyFill="1" applyBorder="1" applyAlignment="1" applyProtection="1">
      <alignment vertical="center" shrinkToFit="1"/>
    </xf>
    <xf numFmtId="38" fontId="18" fillId="0" borderId="46" xfId="1" applyFont="1" applyFill="1" applyBorder="1" applyAlignment="1" applyProtection="1">
      <alignment vertical="center" shrinkToFit="1"/>
    </xf>
    <xf numFmtId="38" fontId="18" fillId="0" borderId="0" xfId="1" applyFont="1" applyFill="1" applyBorder="1" applyProtection="1">
      <alignment vertical="center"/>
    </xf>
    <xf numFmtId="0" fontId="18" fillId="0" borderId="0" xfId="0" applyFont="1" applyAlignment="1">
      <alignment vertical="center" shrinkToFit="1"/>
    </xf>
    <xf numFmtId="176" fontId="18" fillId="0" borderId="0" xfId="2" applyNumberFormat="1" applyFont="1" applyFill="1" applyBorder="1" applyProtection="1">
      <alignment vertical="center"/>
    </xf>
    <xf numFmtId="176" fontId="18" fillId="0" borderId="0" xfId="2" applyNumberFormat="1" applyFont="1" applyFill="1" applyProtection="1">
      <alignment vertical="center"/>
    </xf>
    <xf numFmtId="38" fontId="18" fillId="0" borderId="0" xfId="1" applyFont="1" applyFill="1" applyAlignment="1" applyProtection="1">
      <alignment vertical="center" shrinkToFit="1"/>
    </xf>
    <xf numFmtId="176" fontId="18" fillId="0" borderId="0" xfId="2" applyNumberFormat="1" applyFont="1" applyFill="1" applyAlignment="1" applyProtection="1">
      <alignment vertical="center" shrinkToFit="1"/>
    </xf>
    <xf numFmtId="0" fontId="15" fillId="0" borderId="0" xfId="0" applyFont="1" applyAlignment="1">
      <alignment horizontal="left" vertical="center"/>
    </xf>
    <xf numFmtId="0" fontId="19" fillId="0" borderId="0" xfId="0" applyFont="1" applyAlignment="1">
      <alignment vertical="center" shrinkToFit="1"/>
    </xf>
    <xf numFmtId="0" fontId="19" fillId="0" borderId="0" xfId="0" applyFont="1">
      <alignment vertical="center"/>
    </xf>
    <xf numFmtId="0" fontId="20" fillId="0" borderId="0" xfId="0" applyFont="1" applyAlignment="1">
      <alignment horizontal="right" vertical="center" shrinkToFit="1"/>
    </xf>
    <xf numFmtId="0" fontId="19" fillId="0" borderId="0" xfId="0" applyFont="1" applyAlignment="1">
      <alignment horizontal="right" vertical="center"/>
    </xf>
    <xf numFmtId="0" fontId="19" fillId="0" borderId="0" xfId="0" applyFont="1" applyAlignment="1">
      <alignment horizontal="center" vertical="center"/>
    </xf>
    <xf numFmtId="0" fontId="20" fillId="0" borderId="0" xfId="0" applyFont="1" applyAlignment="1">
      <alignment horizontal="left" vertical="center"/>
    </xf>
    <xf numFmtId="0" fontId="19" fillId="0" borderId="0" xfId="1" applyNumberFormat="1" applyFont="1" applyFill="1" applyBorder="1" applyAlignment="1">
      <alignment horizontal="right" vertical="center" wrapText="1" readingOrder="1"/>
    </xf>
    <xf numFmtId="38" fontId="19" fillId="0" borderId="0" xfId="1" applyFont="1" applyFill="1" applyBorder="1" applyAlignment="1">
      <alignment horizontal="right" vertical="center" wrapText="1" readingOrder="1"/>
    </xf>
    <xf numFmtId="0" fontId="19" fillId="0" borderId="43" xfId="0" applyFont="1" applyBorder="1" applyAlignment="1">
      <alignment horizontal="left" vertical="center"/>
    </xf>
    <xf numFmtId="180" fontId="19" fillId="0" borderId="43" xfId="1" applyNumberFormat="1" applyFont="1" applyFill="1" applyBorder="1" applyAlignment="1">
      <alignment horizontal="right" vertical="center" wrapText="1" readingOrder="1"/>
    </xf>
    <xf numFmtId="0" fontId="19" fillId="0" borderId="0" xfId="0" applyFont="1" applyAlignment="1">
      <alignment horizontal="left" vertical="center"/>
    </xf>
    <xf numFmtId="180" fontId="19" fillId="0" borderId="0" xfId="1" applyNumberFormat="1" applyFont="1" applyFill="1" applyBorder="1" applyAlignment="1">
      <alignment horizontal="right" vertical="center" wrapText="1" readingOrder="1"/>
    </xf>
    <xf numFmtId="38" fontId="19" fillId="0" borderId="44" xfId="1" applyFont="1" applyFill="1" applyBorder="1" applyAlignment="1">
      <alignment horizontal="right" vertical="center" wrapText="1" readingOrder="1"/>
    </xf>
    <xf numFmtId="38" fontId="19" fillId="0" borderId="0" xfId="1" applyFont="1" applyFill="1" applyBorder="1">
      <alignment vertical="center"/>
    </xf>
    <xf numFmtId="176" fontId="19" fillId="0" borderId="0" xfId="2" applyNumberFormat="1" applyFont="1" applyFill="1" applyBorder="1" applyAlignment="1">
      <alignment horizontal="right" vertical="center" wrapText="1" readingOrder="1"/>
    </xf>
    <xf numFmtId="0" fontId="19" fillId="0" borderId="3" xfId="0" applyFont="1" applyBorder="1" applyAlignment="1">
      <alignment horizontal="left" vertical="center"/>
    </xf>
    <xf numFmtId="38" fontId="19" fillId="0" borderId="3" xfId="1" applyFont="1" applyFill="1" applyBorder="1">
      <alignment vertical="center"/>
    </xf>
    <xf numFmtId="38" fontId="19" fillId="0" borderId="3" xfId="1" applyFont="1" applyFill="1" applyBorder="1" applyAlignment="1">
      <alignment horizontal="right" vertical="center" wrapText="1" readingOrder="1"/>
    </xf>
    <xf numFmtId="38" fontId="19" fillId="0" borderId="43" xfId="1" applyFont="1" applyFill="1" applyBorder="1">
      <alignment vertical="center"/>
    </xf>
    <xf numFmtId="176" fontId="19" fillId="0" borderId="43" xfId="2" applyNumberFormat="1" applyFont="1" applyFill="1" applyBorder="1" applyAlignment="1">
      <alignment horizontal="right" vertical="center" wrapText="1" readingOrder="1"/>
    </xf>
    <xf numFmtId="38" fontId="19" fillId="0" borderId="43" xfId="1" applyFont="1" applyFill="1" applyBorder="1" applyAlignment="1">
      <alignment horizontal="right" vertical="center" wrapText="1" readingOrder="1"/>
    </xf>
    <xf numFmtId="0" fontId="19" fillId="0" borderId="37" xfId="0" applyFont="1" applyBorder="1" applyAlignment="1">
      <alignment horizontal="left" vertical="center"/>
    </xf>
    <xf numFmtId="38" fontId="19" fillId="0" borderId="37" xfId="1" applyFont="1" applyFill="1" applyBorder="1">
      <alignment vertical="center"/>
    </xf>
    <xf numFmtId="176" fontId="19" fillId="0" borderId="37" xfId="2" applyNumberFormat="1" applyFont="1" applyFill="1" applyBorder="1" applyAlignment="1">
      <alignment horizontal="right" vertical="center" wrapText="1" readingOrder="1"/>
    </xf>
    <xf numFmtId="38" fontId="19" fillId="0" borderId="37" xfId="1" applyFont="1" applyFill="1" applyBorder="1" applyAlignment="1">
      <alignment horizontal="right" vertical="center" wrapText="1" readingOrder="1"/>
    </xf>
    <xf numFmtId="176" fontId="19" fillId="0" borderId="44" xfId="2" applyNumberFormat="1" applyFont="1" applyFill="1" applyBorder="1" applyAlignment="1">
      <alignment horizontal="right" vertical="center" wrapText="1" readingOrder="1"/>
    </xf>
    <xf numFmtId="38" fontId="19" fillId="0" borderId="44" xfId="1" applyFont="1" applyFill="1" applyBorder="1">
      <alignment vertical="center"/>
    </xf>
    <xf numFmtId="9" fontId="19" fillId="0" borderId="0" xfId="2" applyFont="1" applyFill="1" applyBorder="1" applyAlignment="1">
      <alignment horizontal="right" vertical="center" wrapText="1" readingOrder="1"/>
    </xf>
    <xf numFmtId="0" fontId="19" fillId="0" borderId="3" xfId="0" applyFont="1" applyBorder="1" applyAlignment="1">
      <alignment vertical="center" shrinkToFit="1"/>
    </xf>
    <xf numFmtId="9" fontId="19" fillId="0" borderId="3" xfId="0" applyNumberFormat="1" applyFont="1" applyBorder="1" applyAlignment="1">
      <alignment vertical="center" shrinkToFit="1"/>
    </xf>
    <xf numFmtId="0" fontId="19" fillId="0" borderId="3" xfId="0" applyFont="1" applyBorder="1">
      <alignment vertical="center"/>
    </xf>
    <xf numFmtId="9" fontId="19" fillId="0" borderId="3" xfId="0" applyNumberFormat="1" applyFont="1" applyBorder="1">
      <alignment vertical="center"/>
    </xf>
    <xf numFmtId="9" fontId="19" fillId="0" borderId="3" xfId="2" applyFont="1" applyBorder="1">
      <alignment vertical="center"/>
    </xf>
    <xf numFmtId="9" fontId="19" fillId="0" borderId="27" xfId="0" applyNumberFormat="1" applyFont="1" applyBorder="1">
      <alignment vertical="center"/>
    </xf>
    <xf numFmtId="0" fontId="19" fillId="0" borderId="1" xfId="0" applyFont="1" applyBorder="1" applyAlignment="1">
      <alignment vertical="center" shrinkToFit="1"/>
    </xf>
    <xf numFmtId="0" fontId="19" fillId="0" borderId="49" xfId="0" applyFont="1" applyBorder="1">
      <alignment vertical="center"/>
    </xf>
    <xf numFmtId="0" fontId="19" fillId="0" borderId="34" xfId="0" applyFont="1" applyBorder="1" applyAlignment="1">
      <alignment vertical="center" shrinkToFit="1"/>
    </xf>
    <xf numFmtId="0" fontId="19" fillId="0" borderId="44" xfId="0" applyFont="1" applyBorder="1" applyAlignment="1">
      <alignment vertical="center" shrinkToFit="1"/>
    </xf>
    <xf numFmtId="0" fontId="19" fillId="0" borderId="44" xfId="0" applyFont="1" applyBorder="1">
      <alignment vertical="center"/>
    </xf>
    <xf numFmtId="0" fontId="19" fillId="0" borderId="50" xfId="0" applyFont="1" applyBorder="1">
      <alignment vertical="center"/>
    </xf>
    <xf numFmtId="0" fontId="26" fillId="0" borderId="0" xfId="8" applyFont="1" applyFill="1" applyBorder="1" applyAlignment="1" applyProtection="1">
      <alignment vertical="center"/>
    </xf>
    <xf numFmtId="0" fontId="24" fillId="0" borderId="0" xfId="0" applyFont="1" applyAlignment="1">
      <alignment horizontal="left" vertical="center" shrinkToFit="1"/>
    </xf>
    <xf numFmtId="0" fontId="14" fillId="0" borderId="0" xfId="0" applyFont="1" applyAlignment="1">
      <alignment horizontal="left" vertical="center"/>
    </xf>
    <xf numFmtId="38" fontId="14" fillId="0" borderId="44" xfId="1" applyFont="1" applyFill="1" applyBorder="1" applyAlignment="1" applyProtection="1">
      <alignment vertical="center" shrinkToFit="1"/>
    </xf>
    <xf numFmtId="0" fontId="14" fillId="0" borderId="44" xfId="0" applyFont="1" applyBorder="1" applyAlignment="1">
      <alignment horizontal="left" vertical="center"/>
    </xf>
    <xf numFmtId="0" fontId="14" fillId="0" borderId="33" xfId="0" applyFont="1" applyBorder="1" applyAlignment="1">
      <alignment vertical="center" shrinkToFit="1"/>
    </xf>
    <xf numFmtId="0" fontId="24" fillId="0" borderId="0" xfId="4" applyFont="1" applyAlignment="1">
      <alignment horizontal="left" vertical="center"/>
    </xf>
    <xf numFmtId="0" fontId="21" fillId="0" borderId="0" xfId="4" applyFont="1" applyAlignment="1">
      <alignment horizontal="left" vertical="center"/>
    </xf>
    <xf numFmtId="0" fontId="21" fillId="0" borderId="0" xfId="4" applyFont="1" applyAlignment="1">
      <alignment horizontal="center" vertical="center"/>
    </xf>
    <xf numFmtId="0" fontId="14" fillId="0" borderId="0" xfId="4" applyFont="1" applyAlignment="1">
      <alignment horizontal="center" vertical="center"/>
    </xf>
    <xf numFmtId="0" fontId="14" fillId="0" borderId="53" xfId="4" applyFont="1" applyBorder="1" applyAlignment="1">
      <alignment horizontal="center" vertical="center"/>
    </xf>
    <xf numFmtId="0" fontId="21" fillId="0" borderId="53" xfId="4" applyFont="1" applyBorder="1" applyAlignment="1">
      <alignment horizontal="center" vertical="center"/>
    </xf>
    <xf numFmtId="0" fontId="14" fillId="0" borderId="0" xfId="4" applyFont="1" applyAlignment="1">
      <alignment horizontal="left" vertical="center"/>
    </xf>
    <xf numFmtId="183" fontId="14" fillId="0" borderId="0" xfId="4" applyNumberFormat="1" applyFont="1" applyAlignment="1">
      <alignment horizontal="left" vertical="center"/>
    </xf>
    <xf numFmtId="0" fontId="14" fillId="0" borderId="44" xfId="4" applyFont="1" applyBorder="1" applyAlignment="1">
      <alignment horizontal="left" vertical="center"/>
    </xf>
    <xf numFmtId="180" fontId="21" fillId="0" borderId="44" xfId="1" applyNumberFormat="1" applyFont="1" applyBorder="1" applyAlignment="1">
      <alignment horizontal="right" vertical="center"/>
    </xf>
    <xf numFmtId="180" fontId="21" fillId="0" borderId="52" xfId="1" applyNumberFormat="1" applyFont="1" applyBorder="1" applyAlignment="1">
      <alignment horizontal="right" vertical="center"/>
    </xf>
    <xf numFmtId="0" fontId="21" fillId="0" borderId="18" xfId="4" applyFont="1" applyBorder="1" applyAlignment="1">
      <alignment horizontal="left" vertical="center"/>
    </xf>
    <xf numFmtId="180" fontId="21" fillId="0" borderId="18" xfId="1" applyNumberFormat="1" applyFont="1" applyFill="1" applyBorder="1" applyAlignment="1">
      <alignment horizontal="right" vertical="center" shrinkToFit="1"/>
    </xf>
    <xf numFmtId="180" fontId="21" fillId="0" borderId="54" xfId="1" applyNumberFormat="1" applyFont="1" applyFill="1" applyBorder="1" applyAlignment="1">
      <alignment horizontal="right" vertical="center" shrinkToFit="1"/>
    </xf>
    <xf numFmtId="0" fontId="14" fillId="0" borderId="51" xfId="4" applyFont="1" applyBorder="1" applyAlignment="1">
      <alignment horizontal="left" vertical="center"/>
    </xf>
    <xf numFmtId="182" fontId="21" fillId="0" borderId="51" xfId="4" applyNumberFormat="1" applyFont="1" applyBorder="1" applyAlignment="1">
      <alignment horizontal="right" vertical="center"/>
    </xf>
    <xf numFmtId="182" fontId="21" fillId="0" borderId="55" xfId="4" applyNumberFormat="1" applyFont="1" applyBorder="1" applyAlignment="1">
      <alignment horizontal="right" vertical="center"/>
    </xf>
    <xf numFmtId="0" fontId="14" fillId="0" borderId="7" xfId="4" applyFont="1" applyBorder="1" applyAlignment="1">
      <alignment horizontal="left" vertical="center"/>
    </xf>
    <xf numFmtId="182" fontId="21" fillId="0" borderId="7" xfId="4" applyNumberFormat="1" applyFont="1" applyBorder="1" applyAlignment="1">
      <alignment horizontal="right" vertical="center"/>
    </xf>
    <xf numFmtId="182" fontId="21" fillId="0" borderId="56" xfId="4" applyNumberFormat="1" applyFont="1" applyBorder="1" applyAlignment="1">
      <alignment horizontal="right" vertical="center"/>
    </xf>
    <xf numFmtId="180" fontId="21" fillId="0" borderId="7" xfId="1" applyNumberFormat="1" applyFont="1" applyFill="1" applyBorder="1" applyAlignment="1">
      <alignment horizontal="right" vertical="center" shrinkToFit="1"/>
    </xf>
    <xf numFmtId="180" fontId="21" fillId="0" borderId="56" xfId="1" applyNumberFormat="1" applyFont="1" applyFill="1" applyBorder="1" applyAlignment="1">
      <alignment horizontal="right" vertical="center" shrinkToFit="1"/>
    </xf>
    <xf numFmtId="180" fontId="14" fillId="0" borderId="7" xfId="1" applyNumberFormat="1" applyFont="1" applyFill="1" applyBorder="1" applyAlignment="1">
      <alignment horizontal="right" vertical="center" shrinkToFit="1"/>
    </xf>
    <xf numFmtId="180" fontId="14" fillId="0" borderId="56" xfId="1" applyNumberFormat="1" applyFont="1" applyFill="1" applyBorder="1" applyAlignment="1">
      <alignment horizontal="left" vertical="center"/>
    </xf>
    <xf numFmtId="0" fontId="21" fillId="0" borderId="7" xfId="4" applyFont="1" applyBorder="1" applyAlignment="1">
      <alignment horizontal="left" vertical="center"/>
    </xf>
    <xf numFmtId="180" fontId="14" fillId="0" borderId="7" xfId="1" applyNumberFormat="1" applyFont="1" applyFill="1" applyBorder="1" applyAlignment="1">
      <alignment horizontal="right" vertical="center"/>
    </xf>
    <xf numFmtId="9" fontId="21" fillId="0" borderId="7" xfId="2" applyFont="1" applyFill="1" applyBorder="1" applyAlignment="1">
      <alignment horizontal="right" vertical="center" shrinkToFit="1"/>
    </xf>
    <xf numFmtId="9" fontId="21" fillId="0" borderId="56" xfId="2" applyFont="1" applyFill="1" applyBorder="1" applyAlignment="1">
      <alignment horizontal="right" vertical="center" shrinkToFit="1"/>
    </xf>
    <xf numFmtId="9" fontId="21" fillId="0" borderId="3" xfId="2" applyFont="1" applyFill="1" applyBorder="1" applyAlignment="1">
      <alignment horizontal="right" vertical="center" shrinkToFit="1"/>
    </xf>
    <xf numFmtId="180" fontId="21" fillId="0" borderId="0" xfId="4" applyNumberFormat="1" applyFont="1" applyAlignment="1">
      <alignment horizontal="right" vertical="center"/>
    </xf>
    <xf numFmtId="180" fontId="21" fillId="0" borderId="37" xfId="4" applyNumberFormat="1" applyFont="1" applyBorder="1" applyAlignment="1">
      <alignment horizontal="right" vertical="center" shrinkToFit="1"/>
    </xf>
    <xf numFmtId="180" fontId="21" fillId="0" borderId="37" xfId="4" applyNumberFormat="1" applyFont="1" applyBorder="1" applyAlignment="1">
      <alignment horizontal="right" vertical="center"/>
    </xf>
    <xf numFmtId="38" fontId="25" fillId="12" borderId="9" xfId="1" applyFont="1" applyFill="1" applyBorder="1" applyAlignment="1" applyProtection="1">
      <alignment vertical="center" shrinkToFit="1"/>
    </xf>
    <xf numFmtId="38" fontId="25" fillId="12" borderId="22" xfId="1" applyFont="1" applyFill="1" applyBorder="1" applyAlignment="1" applyProtection="1">
      <alignment vertical="center" shrinkToFit="1"/>
    </xf>
    <xf numFmtId="38" fontId="25" fillId="12" borderId="46" xfId="1" applyFont="1" applyFill="1" applyBorder="1" applyAlignment="1" applyProtection="1">
      <alignment vertical="center" shrinkToFit="1"/>
    </xf>
    <xf numFmtId="38" fontId="25" fillId="0" borderId="0" xfId="1" applyFont="1" applyFill="1" applyBorder="1" applyProtection="1">
      <alignment vertical="center"/>
    </xf>
    <xf numFmtId="38" fontId="25" fillId="6" borderId="9" xfId="1" applyFont="1" applyFill="1" applyBorder="1" applyAlignment="1" applyProtection="1">
      <alignment vertical="center" shrinkToFit="1"/>
    </xf>
    <xf numFmtId="38" fontId="25" fillId="6" borderId="12" xfId="1" applyFont="1" applyFill="1" applyBorder="1" applyAlignment="1" applyProtection="1">
      <alignment vertical="center" shrinkToFit="1"/>
    </xf>
    <xf numFmtId="38" fontId="25" fillId="6" borderId="22" xfId="1" applyFont="1" applyFill="1" applyBorder="1" applyAlignment="1" applyProtection="1">
      <alignment vertical="center" shrinkToFit="1"/>
    </xf>
    <xf numFmtId="38" fontId="25" fillId="6" borderId="14" xfId="1" applyFont="1" applyFill="1" applyBorder="1" applyAlignment="1" applyProtection="1">
      <alignment vertical="center" shrinkToFit="1"/>
    </xf>
    <xf numFmtId="38" fontId="25" fillId="6" borderId="46" xfId="1" applyFont="1" applyFill="1" applyBorder="1" applyAlignment="1" applyProtection="1">
      <alignment vertical="center" shrinkToFit="1"/>
    </xf>
    <xf numFmtId="38" fontId="23" fillId="4" borderId="9" xfId="1" applyFont="1" applyFill="1" applyBorder="1" applyAlignment="1" applyProtection="1">
      <alignment vertical="center" shrinkToFit="1"/>
    </xf>
    <xf numFmtId="38" fontId="23" fillId="4" borderId="12" xfId="1" applyFont="1" applyFill="1" applyBorder="1" applyAlignment="1" applyProtection="1">
      <alignment vertical="center" shrinkToFit="1"/>
    </xf>
    <xf numFmtId="38" fontId="23" fillId="4" borderId="22" xfId="1" applyFont="1" applyFill="1" applyBorder="1" applyAlignment="1" applyProtection="1">
      <alignment vertical="center" shrinkToFit="1"/>
    </xf>
    <xf numFmtId="38" fontId="23" fillId="4" borderId="14" xfId="1" applyFont="1" applyFill="1" applyBorder="1" applyAlignment="1" applyProtection="1">
      <alignment vertical="center" shrinkToFit="1"/>
    </xf>
    <xf numFmtId="38" fontId="23" fillId="4" borderId="37" xfId="1" applyFont="1" applyFill="1" applyBorder="1" applyAlignment="1" applyProtection="1">
      <alignment vertical="center" shrinkToFit="1"/>
    </xf>
    <xf numFmtId="38" fontId="23" fillId="4" borderId="46" xfId="1" applyFont="1" applyFill="1" applyBorder="1" applyAlignment="1" applyProtection="1">
      <alignment vertical="center" shrinkToFit="1"/>
    </xf>
    <xf numFmtId="38" fontId="15" fillId="0" borderId="0" xfId="1" applyFont="1" applyFill="1" applyBorder="1" applyProtection="1">
      <alignment vertical="center"/>
    </xf>
    <xf numFmtId="38" fontId="25" fillId="7" borderId="9" xfId="1" applyFont="1" applyFill="1" applyBorder="1" applyAlignment="1" applyProtection="1">
      <alignment vertical="center" shrinkToFit="1"/>
    </xf>
    <xf numFmtId="38" fontId="25" fillId="7" borderId="12" xfId="1" applyFont="1" applyFill="1" applyBorder="1" applyAlignment="1" applyProtection="1">
      <alignment vertical="center" shrinkToFit="1"/>
    </xf>
    <xf numFmtId="38" fontId="25" fillId="7" borderId="22" xfId="1" applyFont="1" applyFill="1" applyBorder="1" applyAlignment="1" applyProtection="1">
      <alignment vertical="center" shrinkToFit="1"/>
    </xf>
    <xf numFmtId="38" fontId="25" fillId="7" borderId="14" xfId="1" applyFont="1" applyFill="1" applyBorder="1" applyAlignment="1" applyProtection="1">
      <alignment vertical="center" shrinkToFit="1"/>
    </xf>
    <xf numFmtId="38" fontId="25" fillId="7" borderId="46" xfId="1" applyFont="1" applyFill="1" applyBorder="1" applyAlignment="1" applyProtection="1">
      <alignment vertical="center" shrinkToFit="1"/>
    </xf>
    <xf numFmtId="176" fontId="23" fillId="14" borderId="0" xfId="2" applyNumberFormat="1" applyFont="1" applyFill="1" applyBorder="1" applyAlignment="1" applyProtection="1">
      <alignment vertical="center" shrinkToFit="1"/>
    </xf>
    <xf numFmtId="9" fontId="23" fillId="14" borderId="19" xfId="2" applyFont="1" applyFill="1" applyBorder="1" applyAlignment="1" applyProtection="1">
      <alignment vertical="center" shrinkToFit="1"/>
    </xf>
    <xf numFmtId="176" fontId="23" fillId="14" borderId="19" xfId="2" applyNumberFormat="1" applyFont="1" applyFill="1" applyBorder="1" applyAlignment="1" applyProtection="1">
      <alignment vertical="center" shrinkToFit="1"/>
    </xf>
    <xf numFmtId="176" fontId="23" fillId="14" borderId="29" xfId="2" applyNumberFormat="1" applyFont="1" applyFill="1" applyBorder="1" applyAlignment="1" applyProtection="1">
      <alignment vertical="center" shrinkToFit="1"/>
    </xf>
    <xf numFmtId="38" fontId="25" fillId="11" borderId="9" xfId="1" applyFont="1" applyFill="1" applyBorder="1" applyAlignment="1" applyProtection="1">
      <alignment vertical="center" shrinkToFit="1"/>
    </xf>
    <xf numFmtId="38" fontId="25" fillId="11" borderId="12" xfId="1" applyFont="1" applyFill="1" applyBorder="1" applyAlignment="1" applyProtection="1">
      <alignment vertical="center" shrinkToFit="1"/>
    </xf>
    <xf numFmtId="38" fontId="25" fillId="11" borderId="22" xfId="1" applyFont="1" applyFill="1" applyBorder="1" applyAlignment="1" applyProtection="1">
      <alignment vertical="center" shrinkToFit="1"/>
    </xf>
    <xf numFmtId="38" fontId="25" fillId="11" borderId="14" xfId="1" applyFont="1" applyFill="1" applyBorder="1" applyAlignment="1" applyProtection="1">
      <alignment vertical="center" shrinkToFit="1"/>
    </xf>
    <xf numFmtId="38" fontId="25" fillId="11" borderId="46" xfId="1" applyFont="1" applyFill="1" applyBorder="1" applyAlignment="1" applyProtection="1">
      <alignment vertical="center" shrinkToFit="1"/>
    </xf>
    <xf numFmtId="38" fontId="14" fillId="10" borderId="9" xfId="1" applyFont="1" applyFill="1" applyBorder="1" applyAlignment="1" applyProtection="1">
      <alignment vertical="center" shrinkToFit="1"/>
    </xf>
    <xf numFmtId="38" fontId="14" fillId="10" borderId="12" xfId="1" applyFont="1" applyFill="1" applyBorder="1" applyAlignment="1" applyProtection="1">
      <alignment vertical="center" shrinkToFit="1"/>
    </xf>
    <xf numFmtId="38" fontId="14" fillId="10" borderId="22" xfId="1" applyFont="1" applyFill="1" applyBorder="1" applyAlignment="1" applyProtection="1">
      <alignment vertical="center" shrinkToFit="1"/>
    </xf>
    <xf numFmtId="38" fontId="14" fillId="10" borderId="14" xfId="1" applyFont="1" applyFill="1" applyBorder="1" applyAlignment="1" applyProtection="1">
      <alignment vertical="center" shrinkToFit="1"/>
    </xf>
    <xf numFmtId="38" fontId="14" fillId="10" borderId="46" xfId="1" applyFont="1" applyFill="1" applyBorder="1" applyAlignment="1" applyProtection="1">
      <alignment vertical="center" shrinkToFit="1"/>
    </xf>
    <xf numFmtId="38" fontId="23" fillId="4" borderId="0" xfId="2" applyNumberFormat="1" applyFont="1" applyFill="1" applyBorder="1" applyAlignment="1" applyProtection="1">
      <alignment vertical="center" shrinkToFit="1"/>
    </xf>
    <xf numFmtId="38" fontId="23" fillId="4" borderId="19" xfId="2" applyNumberFormat="1" applyFont="1" applyFill="1" applyBorder="1" applyAlignment="1" applyProtection="1">
      <alignment vertical="center" shrinkToFit="1"/>
    </xf>
    <xf numFmtId="38" fontId="23" fillId="4" borderId="29" xfId="2" applyNumberFormat="1" applyFont="1" applyFill="1" applyBorder="1" applyAlignment="1" applyProtection="1">
      <alignment vertical="center" shrinkToFit="1"/>
    </xf>
    <xf numFmtId="38" fontId="25" fillId="10" borderId="9" xfId="1" applyFont="1" applyFill="1" applyBorder="1" applyAlignment="1" applyProtection="1">
      <alignment vertical="center" shrinkToFit="1"/>
    </xf>
    <xf numFmtId="38" fontId="25" fillId="10" borderId="12" xfId="1" applyFont="1" applyFill="1" applyBorder="1" applyAlignment="1" applyProtection="1">
      <alignment vertical="center" shrinkToFit="1"/>
    </xf>
    <xf numFmtId="38" fontId="25" fillId="10" borderId="22" xfId="1" applyFont="1" applyFill="1" applyBorder="1" applyAlignment="1" applyProtection="1">
      <alignment vertical="center" shrinkToFit="1"/>
    </xf>
    <xf numFmtId="38" fontId="25" fillId="10" borderId="14" xfId="1" applyFont="1" applyFill="1" applyBorder="1" applyAlignment="1" applyProtection="1">
      <alignment vertical="center" shrinkToFit="1"/>
    </xf>
    <xf numFmtId="38" fontId="25" fillId="10" borderId="46" xfId="1" applyFont="1" applyFill="1" applyBorder="1" applyAlignment="1" applyProtection="1">
      <alignment vertical="center" shrinkToFit="1"/>
    </xf>
    <xf numFmtId="38" fontId="25" fillId="16" borderId="9" xfId="1" applyFont="1" applyFill="1" applyBorder="1" applyAlignment="1" applyProtection="1">
      <alignment vertical="center" shrinkToFit="1"/>
    </xf>
    <xf numFmtId="38" fontId="25" fillId="16" borderId="12" xfId="1" applyFont="1" applyFill="1" applyBorder="1" applyAlignment="1" applyProtection="1">
      <alignment vertical="center" shrinkToFit="1"/>
    </xf>
    <xf numFmtId="38" fontId="25" fillId="16" borderId="22" xfId="1" applyFont="1" applyFill="1" applyBorder="1" applyAlignment="1" applyProtection="1">
      <alignment vertical="center" shrinkToFit="1"/>
    </xf>
    <xf numFmtId="38" fontId="25" fillId="16" borderId="14" xfId="1" applyFont="1" applyFill="1" applyBorder="1" applyAlignment="1" applyProtection="1">
      <alignment vertical="center" shrinkToFit="1"/>
    </xf>
    <xf numFmtId="38" fontId="25" fillId="16" borderId="46" xfId="1" applyFont="1" applyFill="1" applyBorder="1" applyAlignment="1" applyProtection="1">
      <alignment vertical="center" shrinkToFit="1"/>
    </xf>
    <xf numFmtId="176" fontId="25" fillId="0" borderId="9" xfId="2" applyNumberFormat="1" applyFont="1" applyFill="1" applyBorder="1" applyAlignment="1" applyProtection="1">
      <alignment vertical="center" shrinkToFit="1"/>
    </xf>
    <xf numFmtId="176" fontId="25" fillId="0" borderId="12" xfId="2" applyNumberFormat="1" applyFont="1" applyFill="1" applyBorder="1" applyAlignment="1" applyProtection="1">
      <alignment vertical="center" shrinkToFit="1"/>
    </xf>
    <xf numFmtId="9" fontId="25" fillId="0" borderId="22" xfId="2" applyFont="1" applyFill="1" applyBorder="1" applyAlignment="1" applyProtection="1">
      <alignment vertical="center" shrinkToFit="1"/>
    </xf>
    <xf numFmtId="176" fontId="25" fillId="0" borderId="14" xfId="2" applyNumberFormat="1" applyFont="1" applyFill="1" applyBorder="1" applyAlignment="1" applyProtection="1">
      <alignment vertical="center" shrinkToFit="1"/>
    </xf>
    <xf numFmtId="9" fontId="25" fillId="0" borderId="46" xfId="2" applyFont="1" applyFill="1" applyBorder="1" applyAlignment="1" applyProtection="1">
      <alignment vertical="center" shrinkToFit="1"/>
    </xf>
    <xf numFmtId="38" fontId="18" fillId="15" borderId="11" xfId="1" applyFont="1" applyFill="1" applyBorder="1" applyAlignment="1" applyProtection="1">
      <alignment vertical="center" shrinkToFit="1"/>
    </xf>
    <xf numFmtId="38" fontId="17" fillId="15" borderId="11" xfId="1" applyFont="1" applyFill="1" applyBorder="1" applyAlignment="1" applyProtection="1">
      <alignment vertical="center" shrinkToFit="1"/>
    </xf>
    <xf numFmtId="38" fontId="17" fillId="15" borderId="13" xfId="1" applyFont="1" applyFill="1" applyBorder="1" applyAlignment="1" applyProtection="1">
      <alignment vertical="center" shrinkToFit="1"/>
    </xf>
    <xf numFmtId="38" fontId="17" fillId="15" borderId="21" xfId="1" applyFont="1" applyFill="1" applyBorder="1" applyAlignment="1" applyProtection="1">
      <alignment vertical="center" shrinkToFit="1"/>
    </xf>
    <xf numFmtId="38" fontId="17" fillId="15" borderId="15" xfId="1" applyFont="1" applyFill="1" applyBorder="1" applyAlignment="1" applyProtection="1">
      <alignment vertical="center" shrinkToFit="1"/>
    </xf>
    <xf numFmtId="38" fontId="17" fillId="15" borderId="22" xfId="1" applyFont="1" applyFill="1" applyBorder="1" applyAlignment="1" applyProtection="1">
      <alignment vertical="center" shrinkToFit="1"/>
    </xf>
    <xf numFmtId="38" fontId="17" fillId="15" borderId="46" xfId="1" applyFont="1" applyFill="1" applyBorder="1" applyAlignment="1" applyProtection="1">
      <alignment vertical="center" shrinkToFit="1"/>
    </xf>
    <xf numFmtId="38" fontId="18" fillId="0" borderId="11" xfId="1" applyFont="1" applyFill="1" applyBorder="1" applyAlignment="1" applyProtection="1">
      <alignment vertical="center" shrinkToFit="1"/>
    </xf>
    <xf numFmtId="38" fontId="18" fillId="0" borderId="13" xfId="1" applyFont="1" applyFill="1" applyBorder="1" applyAlignment="1" applyProtection="1">
      <alignment vertical="center" shrinkToFit="1"/>
    </xf>
    <xf numFmtId="38" fontId="18" fillId="0" borderId="21" xfId="1" applyFont="1" applyFill="1" applyBorder="1" applyAlignment="1" applyProtection="1">
      <alignment vertical="center" shrinkToFit="1"/>
    </xf>
    <xf numFmtId="38" fontId="18" fillId="0" borderId="15" xfId="1" applyFont="1" applyFill="1" applyBorder="1" applyAlignment="1" applyProtection="1">
      <alignment vertical="center" shrinkToFit="1"/>
    </xf>
    <xf numFmtId="38" fontId="17" fillId="0" borderId="9" xfId="1" applyFont="1" applyFill="1" applyBorder="1" applyAlignment="1" applyProtection="1">
      <alignment vertical="center" shrinkToFit="1"/>
    </xf>
    <xf numFmtId="38" fontId="27" fillId="0" borderId="11" xfId="1" applyFont="1" applyFill="1" applyBorder="1" applyAlignment="1" applyProtection="1">
      <alignment vertical="center" shrinkToFit="1"/>
    </xf>
    <xf numFmtId="38" fontId="18" fillId="0" borderId="17" xfId="1" applyFont="1" applyFill="1" applyBorder="1" applyAlignment="1" applyProtection="1">
      <alignment vertical="center" shrinkToFit="1"/>
    </xf>
    <xf numFmtId="38" fontId="18" fillId="0" borderId="35" xfId="1" applyFont="1" applyFill="1" applyBorder="1" applyAlignment="1" applyProtection="1">
      <alignment vertical="center" shrinkToFit="1"/>
    </xf>
    <xf numFmtId="38" fontId="18" fillId="0" borderId="38" xfId="1" applyFont="1" applyFill="1" applyBorder="1" applyAlignment="1" applyProtection="1">
      <alignment vertical="center" shrinkToFit="1"/>
    </xf>
    <xf numFmtId="38" fontId="18" fillId="0" borderId="25" xfId="1" applyFont="1" applyFill="1" applyBorder="1" applyAlignment="1" applyProtection="1">
      <alignment vertical="center" shrinkToFit="1"/>
    </xf>
    <xf numFmtId="38" fontId="18" fillId="0" borderId="36" xfId="1" applyFont="1" applyFill="1" applyBorder="1" applyAlignment="1" applyProtection="1">
      <alignment vertical="center" shrinkToFit="1"/>
    </xf>
    <xf numFmtId="38" fontId="18" fillId="0" borderId="18" xfId="1" applyFont="1" applyFill="1" applyBorder="1" applyAlignment="1" applyProtection="1">
      <alignment vertical="center" shrinkToFit="1"/>
    </xf>
    <xf numFmtId="38" fontId="18" fillId="0" borderId="47" xfId="1" applyFont="1" applyFill="1" applyBorder="1" applyAlignment="1" applyProtection="1">
      <alignment vertical="center" shrinkToFit="1"/>
    </xf>
    <xf numFmtId="38" fontId="17" fillId="12" borderId="10" xfId="1" applyFont="1" applyFill="1" applyBorder="1" applyAlignment="1" applyProtection="1">
      <alignment vertical="center" textRotation="255"/>
    </xf>
    <xf numFmtId="38" fontId="18" fillId="13" borderId="9" xfId="1" applyFont="1" applyFill="1" applyBorder="1" applyAlignment="1" applyProtection="1">
      <alignment horizontal="left" vertical="center"/>
    </xf>
    <xf numFmtId="38" fontId="18" fillId="13" borderId="9" xfId="1" applyFont="1" applyFill="1" applyBorder="1" applyAlignment="1" applyProtection="1">
      <alignment vertical="center" shrinkToFit="1"/>
    </xf>
    <xf numFmtId="38" fontId="18" fillId="13" borderId="12" xfId="1" applyFont="1" applyFill="1" applyBorder="1" applyAlignment="1" applyProtection="1">
      <alignment vertical="center" shrinkToFit="1"/>
    </xf>
    <xf numFmtId="38" fontId="18" fillId="13" borderId="22" xfId="1" applyFont="1" applyFill="1" applyBorder="1" applyAlignment="1" applyProtection="1">
      <alignment vertical="center" shrinkToFit="1"/>
    </xf>
    <xf numFmtId="38" fontId="18" fillId="13" borderId="14" xfId="1" applyFont="1" applyFill="1" applyBorder="1" applyAlignment="1" applyProtection="1">
      <alignment vertical="center" shrinkToFit="1"/>
    </xf>
    <xf numFmtId="38" fontId="18" fillId="13" borderId="46" xfId="1" applyFont="1" applyFill="1" applyBorder="1" applyAlignment="1" applyProtection="1">
      <alignment vertical="center" shrinkToFit="1"/>
    </xf>
    <xf numFmtId="38" fontId="18" fillId="13" borderId="9" xfId="1" applyFont="1" applyFill="1" applyBorder="1" applyAlignment="1" applyProtection="1">
      <alignment vertical="center"/>
    </xf>
    <xf numFmtId="38" fontId="18" fillId="13" borderId="9" xfId="1" applyFont="1" applyFill="1" applyBorder="1" applyAlignment="1" applyProtection="1">
      <alignment horizontal="center" vertical="center" shrinkToFit="1"/>
    </xf>
    <xf numFmtId="38" fontId="18" fillId="13" borderId="12" xfId="1" applyFont="1" applyFill="1" applyBorder="1" applyAlignment="1" applyProtection="1">
      <alignment horizontal="center" vertical="center" shrinkToFit="1"/>
    </xf>
    <xf numFmtId="38" fontId="18" fillId="13" borderId="14" xfId="1" applyFont="1" applyFill="1" applyBorder="1" applyAlignment="1" applyProtection="1">
      <alignment horizontal="center" vertical="center" shrinkToFit="1"/>
    </xf>
    <xf numFmtId="38" fontId="18" fillId="0" borderId="9" xfId="1" applyFont="1" applyFill="1" applyBorder="1" applyAlignment="1" applyProtection="1">
      <alignment vertical="center"/>
    </xf>
    <xf numFmtId="38" fontId="18" fillId="0" borderId="9" xfId="1" applyFont="1" applyBorder="1" applyAlignment="1" applyProtection="1">
      <alignment vertical="center" shrinkToFit="1"/>
    </xf>
    <xf numFmtId="38" fontId="18" fillId="0" borderId="12" xfId="1" applyFont="1" applyBorder="1" applyAlignment="1" applyProtection="1">
      <alignment vertical="center" shrinkToFit="1"/>
    </xf>
    <xf numFmtId="38" fontId="18" fillId="0" borderId="22" xfId="1" applyFont="1" applyBorder="1" applyAlignment="1" applyProtection="1">
      <alignment vertical="center" shrinkToFit="1"/>
    </xf>
    <xf numFmtId="38" fontId="18" fillId="0" borderId="14" xfId="1" applyFont="1" applyBorder="1" applyAlignment="1" applyProtection="1">
      <alignment vertical="center" shrinkToFit="1"/>
    </xf>
    <xf numFmtId="38" fontId="18" fillId="0" borderId="46" xfId="1" applyFont="1" applyBorder="1" applyAlignment="1" applyProtection="1">
      <alignment vertical="center" shrinkToFit="1"/>
    </xf>
    <xf numFmtId="38" fontId="17" fillId="12" borderId="11" xfId="1" applyFont="1" applyFill="1" applyBorder="1" applyAlignment="1" applyProtection="1">
      <alignment vertical="center" textRotation="255"/>
    </xf>
    <xf numFmtId="38" fontId="22" fillId="6" borderId="10" xfId="1" applyFont="1" applyFill="1" applyBorder="1" applyAlignment="1" applyProtection="1">
      <alignment vertical="center"/>
    </xf>
    <xf numFmtId="38" fontId="18" fillId="0" borderId="9" xfId="1" applyFont="1" applyFill="1" applyBorder="1" applyAlignment="1" applyProtection="1">
      <alignment horizontal="left" vertical="center" indent="1"/>
    </xf>
    <xf numFmtId="38" fontId="18" fillId="7" borderId="0" xfId="1" applyFont="1" applyFill="1" applyBorder="1" applyProtection="1">
      <alignment vertical="center"/>
    </xf>
    <xf numFmtId="38" fontId="18" fillId="8" borderId="9" xfId="1" applyFont="1" applyFill="1" applyBorder="1" applyAlignment="1" applyProtection="1">
      <alignment vertical="center"/>
    </xf>
    <xf numFmtId="38" fontId="18" fillId="8" borderId="9" xfId="1" applyFont="1" applyFill="1" applyBorder="1" applyAlignment="1" applyProtection="1">
      <alignment vertical="center" shrinkToFit="1"/>
    </xf>
    <xf numFmtId="38" fontId="18" fillId="8" borderId="12" xfId="1" applyFont="1" applyFill="1" applyBorder="1" applyAlignment="1" applyProtection="1">
      <alignment vertical="center" shrinkToFit="1"/>
    </xf>
    <xf numFmtId="38" fontId="18" fillId="8" borderId="22" xfId="1" applyFont="1" applyFill="1" applyBorder="1" applyAlignment="1" applyProtection="1">
      <alignment vertical="center" shrinkToFit="1"/>
    </xf>
    <xf numFmtId="38" fontId="18" fillId="8" borderId="14" xfId="1" applyFont="1" applyFill="1" applyBorder="1" applyAlignment="1" applyProtection="1">
      <alignment vertical="center" shrinkToFit="1"/>
    </xf>
    <xf numFmtId="38" fontId="18" fillId="0" borderId="11" xfId="1" applyFont="1" applyFill="1" applyBorder="1" applyAlignment="1" applyProtection="1">
      <alignment horizontal="left" vertical="center"/>
    </xf>
    <xf numFmtId="38" fontId="19" fillId="0" borderId="22" xfId="1" applyFont="1" applyFill="1" applyBorder="1" applyAlignment="1" applyProtection="1">
      <alignment vertical="center" shrinkToFit="1"/>
    </xf>
    <xf numFmtId="38" fontId="18" fillId="7" borderId="10" xfId="1" applyFont="1" applyFill="1" applyBorder="1" applyAlignment="1" applyProtection="1">
      <alignment horizontal="center" vertical="center"/>
    </xf>
    <xf numFmtId="38" fontId="19" fillId="0" borderId="9" xfId="1" applyFont="1" applyFill="1" applyBorder="1" applyAlignment="1" applyProtection="1">
      <alignment vertical="center" shrinkToFit="1"/>
    </xf>
    <xf numFmtId="38" fontId="19" fillId="0" borderId="12" xfId="1" applyFont="1" applyFill="1" applyBorder="1" applyAlignment="1" applyProtection="1">
      <alignment vertical="center" shrinkToFit="1"/>
    </xf>
    <xf numFmtId="38" fontId="19" fillId="0" borderId="14" xfId="1" applyFont="1" applyFill="1" applyBorder="1" applyAlignment="1" applyProtection="1">
      <alignment vertical="center" shrinkToFit="1"/>
    </xf>
    <xf numFmtId="38" fontId="18" fillId="0" borderId="9" xfId="1" applyFont="1" applyBorder="1" applyAlignment="1" applyProtection="1">
      <alignment vertical="center"/>
    </xf>
    <xf numFmtId="38" fontId="18" fillId="8" borderId="15" xfId="1" applyFont="1" applyFill="1" applyBorder="1" applyAlignment="1" applyProtection="1">
      <alignment vertical="center"/>
    </xf>
    <xf numFmtId="38" fontId="18" fillId="7" borderId="0" xfId="1" applyFont="1" applyFill="1" applyBorder="1" applyAlignment="1" applyProtection="1">
      <alignment horizontal="center" vertical="center"/>
    </xf>
    <xf numFmtId="38" fontId="18" fillId="0" borderId="15" xfId="1" applyFont="1" applyBorder="1" applyAlignment="1" applyProtection="1">
      <alignment vertical="center"/>
    </xf>
    <xf numFmtId="38" fontId="18" fillId="8" borderId="37" xfId="1" applyFont="1" applyFill="1" applyBorder="1" applyAlignment="1" applyProtection="1">
      <alignment vertical="center" shrinkToFit="1"/>
    </xf>
    <xf numFmtId="38" fontId="18" fillId="0" borderId="15" xfId="1" applyFont="1" applyFill="1" applyBorder="1" applyAlignment="1" applyProtection="1">
      <alignment vertical="center"/>
    </xf>
    <xf numFmtId="38" fontId="18" fillId="0" borderId="37" xfId="1" applyFont="1" applyBorder="1" applyAlignment="1" applyProtection="1">
      <alignment vertical="center" shrinkToFit="1"/>
    </xf>
    <xf numFmtId="38" fontId="18" fillId="11" borderId="10" xfId="1" applyFont="1" applyFill="1" applyBorder="1" applyAlignment="1" applyProtection="1">
      <alignment horizontal="center" vertical="center"/>
    </xf>
    <xf numFmtId="38" fontId="18" fillId="0" borderId="37" xfId="1" applyFont="1" applyFill="1" applyBorder="1" applyAlignment="1" applyProtection="1">
      <alignment vertical="center" shrinkToFit="1"/>
    </xf>
    <xf numFmtId="38" fontId="18" fillId="0" borderId="0" xfId="1" applyFont="1" applyFill="1" applyBorder="1" applyAlignment="1" applyProtection="1">
      <alignment horizontal="center" vertical="center"/>
    </xf>
    <xf numFmtId="38" fontId="18" fillId="0" borderId="0" xfId="1" applyFont="1" applyFill="1" applyBorder="1" applyAlignment="1" applyProtection="1">
      <alignment vertical="center" shrinkToFit="1"/>
    </xf>
    <xf numFmtId="38" fontId="18" fillId="0" borderId="19" xfId="1" applyFont="1" applyFill="1" applyBorder="1" applyAlignment="1" applyProtection="1">
      <alignment vertical="center" shrinkToFit="1"/>
    </xf>
    <xf numFmtId="38" fontId="18" fillId="0" borderId="29" xfId="1" applyFont="1" applyFill="1" applyBorder="1" applyAlignment="1" applyProtection="1">
      <alignment vertical="center" shrinkToFit="1"/>
    </xf>
    <xf numFmtId="38" fontId="32" fillId="9" borderId="11" xfId="1" applyFont="1" applyFill="1" applyBorder="1" applyAlignment="1" applyProtection="1">
      <alignment vertical="center" shrinkToFit="1"/>
    </xf>
    <xf numFmtId="38" fontId="33" fillId="9" borderId="11" xfId="1" applyFont="1" applyFill="1" applyBorder="1" applyAlignment="1" applyProtection="1">
      <alignment vertical="center" shrinkToFit="1"/>
    </xf>
    <xf numFmtId="38" fontId="33" fillId="9" borderId="13" xfId="1" applyFont="1" applyFill="1" applyBorder="1" applyAlignment="1" applyProtection="1">
      <alignment vertical="center" shrinkToFit="1"/>
    </xf>
    <xf numFmtId="38" fontId="33" fillId="9" borderId="21" xfId="1" applyFont="1" applyFill="1" applyBorder="1" applyAlignment="1" applyProtection="1">
      <alignment vertical="center" shrinkToFit="1"/>
    </xf>
    <xf numFmtId="38" fontId="33" fillId="9" borderId="15" xfId="1" applyFont="1" applyFill="1" applyBorder="1" applyAlignment="1" applyProtection="1">
      <alignment vertical="center" shrinkToFit="1"/>
    </xf>
    <xf numFmtId="38" fontId="33" fillId="9" borderId="19" xfId="1" applyFont="1" applyFill="1" applyBorder="1" applyAlignment="1" applyProtection="1">
      <alignment vertical="center" shrinkToFit="1"/>
    </xf>
    <xf numFmtId="38" fontId="33" fillId="9" borderId="26" xfId="1" applyFont="1" applyFill="1" applyBorder="1" applyAlignment="1" applyProtection="1">
      <alignment vertical="center" shrinkToFit="1"/>
    </xf>
    <xf numFmtId="38" fontId="33" fillId="9" borderId="29" xfId="1" applyFont="1" applyFill="1" applyBorder="1" applyAlignment="1" applyProtection="1">
      <alignment vertical="center" shrinkToFit="1"/>
    </xf>
    <xf numFmtId="1" fontId="19" fillId="0" borderId="44" xfId="0" applyNumberFormat="1" applyFont="1" applyBorder="1">
      <alignment vertical="center"/>
    </xf>
    <xf numFmtId="38" fontId="19" fillId="0" borderId="44" xfId="1" applyFont="1" applyBorder="1">
      <alignment vertical="center"/>
    </xf>
    <xf numFmtId="0" fontId="19" fillId="0" borderId="37" xfId="1" applyNumberFormat="1" applyFont="1" applyFill="1" applyBorder="1">
      <alignment vertical="center"/>
    </xf>
    <xf numFmtId="1" fontId="19" fillId="0" borderId="37" xfId="1" applyNumberFormat="1" applyFont="1" applyFill="1" applyBorder="1">
      <alignment vertical="center"/>
    </xf>
    <xf numFmtId="1" fontId="19" fillId="0" borderId="43" xfId="0" applyNumberFormat="1" applyFont="1" applyBorder="1">
      <alignment vertical="center"/>
    </xf>
    <xf numFmtId="1" fontId="19" fillId="0" borderId="37" xfId="0" applyNumberFormat="1" applyFont="1" applyBorder="1">
      <alignment vertical="center"/>
    </xf>
    <xf numFmtId="1" fontId="14" fillId="0" borderId="0" xfId="4" applyNumberFormat="1" applyFont="1" applyAlignment="1">
      <alignment horizontal="left" vertical="center"/>
    </xf>
    <xf numFmtId="38" fontId="18" fillId="8" borderId="46" xfId="1" applyFont="1" applyFill="1" applyBorder="1" applyAlignment="1" applyProtection="1">
      <alignment vertical="center" shrinkToFit="1"/>
    </xf>
    <xf numFmtId="38" fontId="19" fillId="0" borderId="46" xfId="1" applyFont="1" applyFill="1" applyBorder="1" applyAlignment="1" applyProtection="1">
      <alignment vertical="center" shrinkToFit="1"/>
    </xf>
    <xf numFmtId="49" fontId="18" fillId="0" borderId="9" xfId="1" applyNumberFormat="1" applyFont="1" applyFill="1" applyBorder="1" applyAlignment="1" applyProtection="1">
      <alignment horizontal="right" vertical="center" shrinkToFit="1"/>
    </xf>
    <xf numFmtId="0" fontId="21" fillId="0" borderId="0" xfId="4" applyFont="1">
      <alignment vertical="center"/>
    </xf>
    <xf numFmtId="0" fontId="21" fillId="0" borderId="18" xfId="4" applyFont="1" applyBorder="1">
      <alignment vertical="center"/>
    </xf>
    <xf numFmtId="0" fontId="18" fillId="0" borderId="0" xfId="0" applyFont="1" applyAlignment="1">
      <alignment horizontal="left" vertical="center"/>
    </xf>
    <xf numFmtId="176" fontId="19" fillId="0" borderId="0" xfId="2" applyNumberFormat="1" applyFont="1" applyFill="1" applyBorder="1" applyAlignment="1" applyProtection="1">
      <alignment horizontal="right" vertical="center"/>
    </xf>
    <xf numFmtId="9" fontId="18" fillId="0" borderId="0" xfId="2" applyFont="1" applyFill="1" applyBorder="1" applyAlignment="1" applyProtection="1">
      <alignment vertical="center" shrinkToFit="1"/>
    </xf>
    <xf numFmtId="176" fontId="18" fillId="0" borderId="0" xfId="0" applyNumberFormat="1" applyFont="1" applyAlignment="1">
      <alignment horizontal="right" vertical="center"/>
    </xf>
    <xf numFmtId="0" fontId="18" fillId="0" borderId="0" xfId="0" applyFont="1" applyAlignment="1">
      <alignment horizontal="left" vertical="center" shrinkToFit="1"/>
    </xf>
    <xf numFmtId="38" fontId="18" fillId="0" borderId="0" xfId="1" applyFont="1" applyFill="1" applyBorder="1" applyAlignment="1" applyProtection="1">
      <alignment horizontal="right" vertical="center"/>
    </xf>
    <xf numFmtId="38" fontId="18" fillId="0" borderId="0" xfId="1" applyFont="1" applyFill="1" applyProtection="1">
      <alignment vertical="center"/>
    </xf>
    <xf numFmtId="2" fontId="18" fillId="0" borderId="0" xfId="0" applyNumberFormat="1" applyFont="1">
      <alignment vertical="center"/>
    </xf>
    <xf numFmtId="2" fontId="17" fillId="0" borderId="0" xfId="0" applyNumberFormat="1" applyFont="1">
      <alignment vertical="center"/>
    </xf>
    <xf numFmtId="0" fontId="21" fillId="0" borderId="1" xfId="0" applyFont="1" applyBorder="1" applyAlignment="1">
      <alignment vertical="center" wrapText="1"/>
    </xf>
    <xf numFmtId="0" fontId="21" fillId="0" borderId="0" xfId="0" applyFont="1" applyAlignment="1">
      <alignment vertical="center" wrapText="1"/>
    </xf>
    <xf numFmtId="38" fontId="18" fillId="0" borderId="0" xfId="0" applyNumberFormat="1" applyFont="1">
      <alignment vertical="center"/>
    </xf>
    <xf numFmtId="10" fontId="18" fillId="0" borderId="0" xfId="2" applyNumberFormat="1" applyFont="1" applyFill="1" applyProtection="1">
      <alignment vertical="center"/>
    </xf>
    <xf numFmtId="38" fontId="22" fillId="0" borderId="0" xfId="1" applyFont="1" applyProtection="1">
      <alignment vertical="center"/>
    </xf>
    <xf numFmtId="0" fontId="26" fillId="0" borderId="0" xfId="0" applyFont="1">
      <alignment vertical="center"/>
    </xf>
    <xf numFmtId="0" fontId="18" fillId="0" borderId="0" xfId="0" applyFont="1" applyAlignment="1">
      <alignment horizontal="center" vertical="center" shrinkToFit="1"/>
    </xf>
    <xf numFmtId="0" fontId="33" fillId="0" borderId="0" xfId="0" applyFont="1" applyAlignment="1">
      <alignment horizontal="right" vertical="center" shrinkToFit="1"/>
    </xf>
    <xf numFmtId="179" fontId="18" fillId="20" borderId="0" xfId="0" applyNumberFormat="1" applyFont="1" applyFill="1" applyAlignment="1" applyProtection="1">
      <alignment horizontal="right" vertical="center"/>
      <protection locked="0"/>
    </xf>
    <xf numFmtId="38" fontId="18" fillId="20" borderId="0" xfId="1" applyFont="1" applyFill="1" applyBorder="1" applyAlignment="1" applyProtection="1">
      <alignment vertical="center" shrinkToFit="1"/>
      <protection locked="0"/>
    </xf>
    <xf numFmtId="176" fontId="14" fillId="20" borderId="0" xfId="0" applyNumberFormat="1" applyFont="1" applyFill="1" applyAlignment="1" applyProtection="1">
      <alignment horizontal="right" vertical="center"/>
      <protection locked="0"/>
    </xf>
    <xf numFmtId="9" fontId="18" fillId="20" borderId="0" xfId="2" applyFont="1" applyFill="1" applyBorder="1" applyProtection="1">
      <alignment vertical="center"/>
      <protection locked="0"/>
    </xf>
    <xf numFmtId="0" fontId="19" fillId="0" borderId="0" xfId="0" applyFont="1" applyAlignment="1">
      <alignment vertical="center" textRotation="255"/>
    </xf>
    <xf numFmtId="0" fontId="18" fillId="0" borderId="28" xfId="0" applyFont="1" applyBorder="1">
      <alignment vertical="center"/>
    </xf>
    <xf numFmtId="0" fontId="15" fillId="0" borderId="0" xfId="0" applyFont="1" applyAlignment="1">
      <alignment horizontal="left" vertical="center" shrinkToFit="1"/>
    </xf>
    <xf numFmtId="0" fontId="20" fillId="0" borderId="0" xfId="0" applyFont="1" applyAlignment="1">
      <alignment horizontal="center" vertical="center" textRotation="255"/>
    </xf>
    <xf numFmtId="0" fontId="18" fillId="0" borderId="0" xfId="0" applyFont="1" applyAlignment="1">
      <alignment horizontal="right" vertical="center" shrinkToFit="1"/>
    </xf>
    <xf numFmtId="0" fontId="18" fillId="0" borderId="0" xfId="0" applyFont="1" applyAlignment="1">
      <alignment horizontal="center" vertical="center"/>
    </xf>
    <xf numFmtId="0" fontId="19" fillId="0" borderId="0" xfId="0" applyFont="1" applyAlignment="1">
      <alignment horizontal="center" vertical="center" textRotation="255"/>
    </xf>
    <xf numFmtId="0" fontId="19" fillId="3" borderId="4" xfId="0" applyFont="1" applyFill="1" applyBorder="1" applyAlignment="1">
      <alignment horizontal="center" vertical="center" wrapText="1" readingOrder="1"/>
    </xf>
    <xf numFmtId="0" fontId="19" fillId="3" borderId="2" xfId="0" applyFont="1" applyFill="1" applyBorder="1" applyAlignment="1">
      <alignment horizontal="center" vertical="center" wrapText="1" readingOrder="1"/>
    </xf>
    <xf numFmtId="0" fontId="19" fillId="0" borderId="4" xfId="0" applyFont="1" applyBorder="1" applyAlignment="1">
      <alignment horizontal="center" vertical="center" wrapText="1" readingOrder="1"/>
    </xf>
    <xf numFmtId="0" fontId="19" fillId="3" borderId="0" xfId="0" applyFont="1" applyFill="1" applyAlignment="1">
      <alignment horizontal="center" vertical="center" wrapText="1" readingOrder="1"/>
    </xf>
    <xf numFmtId="0" fontId="18" fillId="0" borderId="2" xfId="0" applyFont="1" applyBorder="1" applyAlignment="1">
      <alignment horizontal="left" vertical="center"/>
    </xf>
    <xf numFmtId="38" fontId="18" fillId="0" borderId="2" xfId="1" applyFont="1" applyBorder="1" applyProtection="1">
      <alignment vertical="center"/>
    </xf>
    <xf numFmtId="176" fontId="18" fillId="0" borderId="2" xfId="2" applyNumberFormat="1" applyFont="1" applyFill="1" applyBorder="1" applyProtection="1">
      <alignment vertical="center"/>
    </xf>
    <xf numFmtId="0" fontId="18" fillId="0" borderId="2" xfId="0" applyFont="1" applyBorder="1" applyAlignment="1">
      <alignment horizontal="center" vertical="center"/>
    </xf>
    <xf numFmtId="0" fontId="29" fillId="0" borderId="0" xfId="0" applyFont="1">
      <alignment vertical="center"/>
    </xf>
    <xf numFmtId="0" fontId="18" fillId="0" borderId="7" xfId="0" applyFont="1" applyBorder="1" applyAlignment="1">
      <alignment horizontal="left" vertical="center"/>
    </xf>
    <xf numFmtId="38" fontId="25" fillId="0" borderId="0" xfId="1" applyFont="1" applyProtection="1">
      <alignment vertical="center"/>
    </xf>
    <xf numFmtId="176" fontId="17" fillId="0" borderId="2" xfId="2" applyNumberFormat="1" applyFont="1" applyFill="1" applyBorder="1" applyProtection="1">
      <alignment vertical="center"/>
    </xf>
    <xf numFmtId="3" fontId="18" fillId="0" borderId="0" xfId="0" applyNumberFormat="1" applyFont="1" applyAlignment="1">
      <alignment vertical="center" shrinkToFit="1"/>
    </xf>
    <xf numFmtId="0" fontId="30" fillId="0" borderId="2" xfId="0" applyFont="1" applyBorder="1" applyAlignment="1">
      <alignment horizontal="left" vertical="center"/>
    </xf>
    <xf numFmtId="38" fontId="30" fillId="0" borderId="2" xfId="1" applyFont="1" applyFill="1" applyBorder="1" applyProtection="1">
      <alignment vertical="center"/>
    </xf>
    <xf numFmtId="177" fontId="19" fillId="0" borderId="2" xfId="0" applyNumberFormat="1" applyFont="1" applyBorder="1">
      <alignment vertical="center"/>
    </xf>
    <xf numFmtId="177" fontId="19" fillId="0" borderId="0" xfId="0" applyNumberFormat="1" applyFont="1">
      <alignment vertical="center"/>
    </xf>
    <xf numFmtId="38" fontId="30" fillId="0" borderId="2" xfId="1" applyFont="1" applyFill="1" applyBorder="1" applyAlignment="1" applyProtection="1">
      <alignment horizontal="right" vertical="center"/>
    </xf>
    <xf numFmtId="0" fontId="17" fillId="0" borderId="0" xfId="0" applyFont="1" applyAlignment="1">
      <alignment horizontal="left" vertical="center"/>
    </xf>
    <xf numFmtId="0" fontId="17" fillId="0" borderId="0" xfId="0" applyFont="1" applyAlignment="1">
      <alignment horizontal="center" vertical="center" shrinkToFit="1"/>
    </xf>
    <xf numFmtId="0" fontId="30" fillId="0" borderId="4" xfId="0" applyFont="1" applyBorder="1" applyAlignment="1">
      <alignment horizontal="left" vertical="center"/>
    </xf>
    <xf numFmtId="0" fontId="30" fillId="0" borderId="7" xfId="0" applyFont="1" applyBorder="1" applyAlignment="1">
      <alignment horizontal="left" vertical="center"/>
    </xf>
    <xf numFmtId="38" fontId="37" fillId="0" borderId="8" xfId="1" applyFont="1" applyFill="1" applyBorder="1" applyProtection="1">
      <alignment vertical="center"/>
    </xf>
    <xf numFmtId="0" fontId="30" fillId="0" borderId="4" xfId="0" applyFont="1" applyBorder="1">
      <alignment vertical="center"/>
    </xf>
    <xf numFmtId="177" fontId="38" fillId="0" borderId="4" xfId="0" applyNumberFormat="1" applyFont="1" applyBorder="1" applyAlignment="1">
      <alignment vertical="center" shrinkToFit="1"/>
    </xf>
    <xf numFmtId="177" fontId="38" fillId="0" borderId="0" xfId="0" applyNumberFormat="1" applyFont="1" applyAlignment="1">
      <alignment vertical="center" shrinkToFit="1"/>
    </xf>
    <xf numFmtId="177" fontId="19" fillId="0" borderId="2" xfId="0" applyNumberFormat="1" applyFont="1" applyBorder="1" applyAlignment="1">
      <alignment horizontal="left" vertical="center"/>
    </xf>
    <xf numFmtId="0" fontId="30" fillId="0" borderId="2" xfId="0" applyFont="1" applyBorder="1" applyAlignment="1">
      <alignment vertical="center" shrinkToFit="1"/>
    </xf>
    <xf numFmtId="38" fontId="18" fillId="0" borderId="2" xfId="1" applyFont="1" applyFill="1" applyBorder="1" applyProtection="1">
      <alignment vertical="center"/>
    </xf>
    <xf numFmtId="38" fontId="18" fillId="0" borderId="2" xfId="1" applyFont="1" applyFill="1" applyBorder="1" applyAlignment="1" applyProtection="1">
      <alignment horizontal="right" vertical="center"/>
    </xf>
    <xf numFmtId="176" fontId="17" fillId="0" borderId="4" xfId="2" applyNumberFormat="1" applyFont="1" applyFill="1" applyBorder="1" applyProtection="1">
      <alignment vertical="center"/>
    </xf>
    <xf numFmtId="177" fontId="19" fillId="0" borderId="4" xfId="0" applyNumberFormat="1" applyFont="1" applyBorder="1">
      <alignment vertical="center"/>
    </xf>
    <xf numFmtId="0" fontId="18" fillId="2" borderId="2" xfId="0" applyFont="1" applyFill="1" applyBorder="1" applyAlignment="1">
      <alignment horizontal="center" vertical="center" shrinkToFit="1"/>
    </xf>
    <xf numFmtId="176" fontId="18" fillId="0" borderId="4" xfId="2" applyNumberFormat="1" applyFont="1" applyFill="1" applyBorder="1" applyProtection="1">
      <alignment vertical="center"/>
    </xf>
    <xf numFmtId="178" fontId="19" fillId="0" borderId="4" xfId="0" applyNumberFormat="1" applyFont="1" applyBorder="1" applyAlignment="1">
      <alignment horizontal="left" vertical="center"/>
    </xf>
    <xf numFmtId="3" fontId="18" fillId="0" borderId="2" xfId="0" applyNumberFormat="1" applyFont="1" applyBorder="1" applyAlignment="1">
      <alignment vertical="center" shrinkToFit="1"/>
    </xf>
    <xf numFmtId="0" fontId="30" fillId="0" borderId="2" xfId="0" applyFont="1" applyBorder="1">
      <alignment vertical="center"/>
    </xf>
    <xf numFmtId="178" fontId="19" fillId="0" borderId="2" xfId="0" applyNumberFormat="1" applyFont="1" applyBorder="1" applyAlignment="1">
      <alignment horizontal="left" vertical="center"/>
    </xf>
    <xf numFmtId="176" fontId="18" fillId="0" borderId="6" xfId="2" applyNumberFormat="1" applyFont="1" applyFill="1" applyBorder="1" applyProtection="1">
      <alignment vertical="center"/>
    </xf>
    <xf numFmtId="177" fontId="19" fillId="0" borderId="6" xfId="0" applyNumberFormat="1" applyFont="1" applyBorder="1">
      <alignment vertical="center"/>
    </xf>
    <xf numFmtId="0" fontId="30" fillId="0" borderId="7" xfId="0" applyFont="1" applyBorder="1">
      <alignment vertical="center"/>
    </xf>
    <xf numFmtId="176" fontId="17" fillId="0" borderId="6" xfId="2" applyNumberFormat="1" applyFont="1" applyFill="1" applyBorder="1" applyProtection="1">
      <alignment vertical="center"/>
    </xf>
    <xf numFmtId="178" fontId="19" fillId="0" borderId="6" xfId="0" applyNumberFormat="1" applyFont="1" applyBorder="1" applyAlignment="1">
      <alignment horizontal="left" vertical="center"/>
    </xf>
    <xf numFmtId="38" fontId="30" fillId="0" borderId="4" xfId="1" applyFont="1" applyFill="1" applyBorder="1" applyAlignment="1" applyProtection="1">
      <alignment vertical="center"/>
    </xf>
    <xf numFmtId="178" fontId="19" fillId="0" borderId="2" xfId="0" applyNumberFormat="1" applyFont="1" applyBorder="1">
      <alignment vertical="center"/>
    </xf>
    <xf numFmtId="178" fontId="19" fillId="0" borderId="2" xfId="0" applyNumberFormat="1" applyFont="1" applyBorder="1" applyAlignment="1">
      <alignment horizontal="right" vertical="center"/>
    </xf>
    <xf numFmtId="38" fontId="30" fillId="0" borderId="4" xfId="1" applyFont="1" applyFill="1" applyBorder="1" applyProtection="1">
      <alignment vertical="center"/>
    </xf>
    <xf numFmtId="176" fontId="18" fillId="0" borderId="5" xfId="2" applyNumberFormat="1" applyFont="1" applyFill="1" applyBorder="1" applyProtection="1">
      <alignment vertical="center"/>
    </xf>
    <xf numFmtId="178" fontId="19" fillId="0" borderId="5" xfId="0" applyNumberFormat="1" applyFont="1" applyBorder="1" applyAlignment="1">
      <alignment horizontal="left" vertical="center"/>
    </xf>
    <xf numFmtId="0" fontId="30" fillId="0" borderId="3" xfId="0" applyFont="1" applyBorder="1" applyAlignment="1">
      <alignment vertical="center" shrinkToFit="1"/>
    </xf>
    <xf numFmtId="38" fontId="37" fillId="0" borderId="27" xfId="1" applyFont="1" applyFill="1" applyBorder="1" applyProtection="1">
      <alignment vertical="center"/>
    </xf>
    <xf numFmtId="0" fontId="16" fillId="5" borderId="7" xfId="0" applyFont="1" applyFill="1" applyBorder="1" applyAlignment="1">
      <alignment vertical="center" textRotation="255" readingOrder="1"/>
    </xf>
    <xf numFmtId="0" fontId="16" fillId="5" borderId="7" xfId="0" applyFont="1" applyFill="1" applyBorder="1" applyAlignment="1">
      <alignment horizontal="left" vertical="center"/>
    </xf>
    <xf numFmtId="38" fontId="23" fillId="5" borderId="8" xfId="1" applyFont="1" applyFill="1" applyBorder="1" applyProtection="1">
      <alignment vertical="center"/>
    </xf>
    <xf numFmtId="0" fontId="18" fillId="0" borderId="2" xfId="0" applyFont="1" applyBorder="1" applyAlignment="1">
      <alignment horizontal="right" vertical="center"/>
    </xf>
    <xf numFmtId="0" fontId="31" fillId="4" borderId="3" xfId="0" applyFont="1" applyFill="1" applyBorder="1" applyAlignment="1">
      <alignment vertical="center" shrinkToFit="1"/>
    </xf>
    <xf numFmtId="0" fontId="16" fillId="4" borderId="3" xfId="0" applyFont="1" applyFill="1" applyBorder="1" applyAlignment="1">
      <alignment vertical="center" shrinkToFit="1"/>
    </xf>
    <xf numFmtId="38" fontId="23" fillId="4" borderId="0" xfId="0" applyNumberFormat="1" applyFont="1" applyFill="1" applyAlignment="1">
      <alignment horizontal="right" vertical="center" shrinkToFit="1"/>
    </xf>
    <xf numFmtId="0" fontId="22" fillId="0" borderId="0" xfId="0" applyFont="1" applyAlignment="1">
      <alignment horizontal="left" vertical="center" shrinkToFit="1"/>
    </xf>
    <xf numFmtId="0" fontId="17" fillId="0" borderId="0" xfId="0" applyFont="1">
      <alignment vertical="center"/>
    </xf>
    <xf numFmtId="181" fontId="18" fillId="0" borderId="0" xfId="0" applyNumberFormat="1" applyFont="1" applyAlignment="1">
      <alignment horizontal="center" vertical="center" shrinkToFit="1"/>
    </xf>
    <xf numFmtId="0" fontId="18" fillId="0" borderId="19" xfId="0" applyFont="1" applyBorder="1" applyAlignment="1">
      <alignment vertical="center" shrinkToFit="1"/>
    </xf>
    <xf numFmtId="0" fontId="18" fillId="0" borderId="29" xfId="0" applyFont="1" applyBorder="1" applyAlignment="1">
      <alignment vertical="center" shrinkToFit="1"/>
    </xf>
    <xf numFmtId="0" fontId="18" fillId="0" borderId="19" xfId="0" applyFont="1" applyBorder="1" applyAlignment="1">
      <alignment horizontal="center" vertical="center" shrinkToFit="1"/>
    </xf>
    <xf numFmtId="0" fontId="18" fillId="0" borderId="29" xfId="0" applyFont="1" applyBorder="1" applyAlignment="1">
      <alignment horizontal="center" vertical="center" shrinkToFit="1"/>
    </xf>
    <xf numFmtId="0" fontId="18" fillId="0" borderId="20" xfId="0" applyFont="1" applyBorder="1" applyAlignment="1">
      <alignment horizontal="center" vertical="center" shrinkToFit="1"/>
    </xf>
    <xf numFmtId="0" fontId="18" fillId="0" borderId="24" xfId="0" applyFont="1" applyBorder="1" applyAlignment="1">
      <alignment horizontal="center" vertical="center" shrinkToFit="1"/>
    </xf>
    <xf numFmtId="0" fontId="18" fillId="0" borderId="45" xfId="0" applyFont="1" applyBorder="1" applyAlignment="1">
      <alignment horizontal="center" vertical="center" shrinkToFit="1"/>
    </xf>
    <xf numFmtId="0" fontId="34" fillId="0" borderId="0" xfId="0" applyFont="1">
      <alignment vertical="center"/>
    </xf>
    <xf numFmtId="0" fontId="20" fillId="9" borderId="10" xfId="0" applyFont="1" applyFill="1" applyBorder="1">
      <alignment vertical="center"/>
    </xf>
    <xf numFmtId="0" fontId="17" fillId="15" borderId="9" xfId="0" applyFont="1" applyFill="1" applyBorder="1">
      <alignment vertical="center"/>
    </xf>
    <xf numFmtId="0" fontId="22" fillId="0" borderId="0" xfId="0" applyFont="1">
      <alignment vertical="center"/>
    </xf>
    <xf numFmtId="0" fontId="18" fillId="0" borderId="9" xfId="0" applyFont="1" applyBorder="1">
      <alignment vertical="center"/>
    </xf>
    <xf numFmtId="0" fontId="17" fillId="0" borderId="10" xfId="0" applyFont="1" applyBorder="1" applyAlignment="1">
      <alignment vertical="center" textRotation="255"/>
    </xf>
    <xf numFmtId="0" fontId="28" fillId="0" borderId="0" xfId="0" applyFont="1">
      <alignment vertical="center"/>
    </xf>
    <xf numFmtId="0" fontId="17" fillId="0" borderId="11" xfId="0" applyFont="1" applyBorder="1" applyAlignment="1">
      <alignment vertical="center" textRotation="255"/>
    </xf>
    <xf numFmtId="38" fontId="23" fillId="4" borderId="0" xfId="0" applyNumberFormat="1" applyFont="1" applyFill="1" applyAlignment="1">
      <alignment vertical="center" shrinkToFit="1"/>
    </xf>
    <xf numFmtId="38" fontId="23" fillId="4" borderId="23" xfId="0" applyNumberFormat="1" applyFont="1" applyFill="1" applyBorder="1" applyAlignment="1">
      <alignment vertical="center" shrinkToFit="1"/>
    </xf>
    <xf numFmtId="38" fontId="23" fillId="4" borderId="19" xfId="0" applyNumberFormat="1" applyFont="1" applyFill="1" applyBorder="1" applyAlignment="1">
      <alignment vertical="center" shrinkToFit="1"/>
    </xf>
    <xf numFmtId="38" fontId="23" fillId="4" borderId="29" xfId="0" applyNumberFormat="1" applyFont="1" applyFill="1" applyBorder="1" applyAlignment="1">
      <alignment vertical="center" shrinkToFit="1"/>
    </xf>
    <xf numFmtId="0" fontId="25" fillId="0" borderId="0" xfId="0" applyFont="1">
      <alignment vertical="center"/>
    </xf>
    <xf numFmtId="0" fontId="18" fillId="0" borderId="42" xfId="0" applyFont="1" applyBorder="1" applyAlignment="1">
      <alignment horizontal="center" vertical="center"/>
    </xf>
    <xf numFmtId="0" fontId="18" fillId="0" borderId="42" xfId="0" applyFont="1" applyBorder="1">
      <alignment vertical="center"/>
    </xf>
    <xf numFmtId="0" fontId="18" fillId="0" borderId="42" xfId="0" applyFont="1" applyBorder="1" applyAlignment="1">
      <alignment vertical="center" shrinkToFit="1"/>
    </xf>
    <xf numFmtId="0" fontId="18" fillId="0" borderId="31" xfId="0" applyFont="1" applyBorder="1" applyAlignment="1">
      <alignment vertical="center" shrinkToFit="1"/>
    </xf>
    <xf numFmtId="0" fontId="18" fillId="0" borderId="23" xfId="0" applyFont="1" applyBorder="1" applyAlignment="1">
      <alignment vertical="center" shrinkToFit="1"/>
    </xf>
    <xf numFmtId="0" fontId="18" fillId="0" borderId="32" xfId="0" applyFont="1" applyBorder="1" applyAlignment="1">
      <alignment vertical="center" shrinkToFit="1"/>
    </xf>
    <xf numFmtId="0" fontId="18" fillId="0" borderId="48" xfId="0" applyFont="1" applyBorder="1" applyAlignment="1">
      <alignment vertical="center" shrinkToFit="1"/>
    </xf>
    <xf numFmtId="0" fontId="21" fillId="19" borderId="33" xfId="0" applyFont="1" applyFill="1" applyBorder="1" applyAlignment="1">
      <alignment horizontal="left" vertical="center" wrapText="1"/>
    </xf>
    <xf numFmtId="0" fontId="21" fillId="19" borderId="3" xfId="0" applyFont="1" applyFill="1" applyBorder="1" applyAlignment="1">
      <alignment horizontal="left" vertical="center" wrapText="1"/>
    </xf>
    <xf numFmtId="0" fontId="21" fillId="19" borderId="1" xfId="0" applyFont="1" applyFill="1" applyBorder="1" applyAlignment="1">
      <alignment horizontal="left" vertical="center" wrapText="1"/>
    </xf>
    <xf numFmtId="0" fontId="21" fillId="19" borderId="0" xfId="0" applyFont="1" applyFill="1" applyAlignment="1">
      <alignment horizontal="left" vertical="center" wrapText="1"/>
    </xf>
    <xf numFmtId="0" fontId="21" fillId="19" borderId="34" xfId="0" applyFont="1" applyFill="1" applyBorder="1" applyAlignment="1">
      <alignment horizontal="left" vertical="center" wrapText="1"/>
    </xf>
    <xf numFmtId="0" fontId="21" fillId="19" borderId="44" xfId="0" applyFont="1" applyFill="1" applyBorder="1" applyAlignment="1">
      <alignment horizontal="left" vertical="center" wrapText="1"/>
    </xf>
    <xf numFmtId="0" fontId="16" fillId="5" borderId="33" xfId="0" applyFont="1" applyFill="1" applyBorder="1" applyAlignment="1">
      <alignment horizontal="center" vertical="center" textRotation="255" wrapText="1" readingOrder="1"/>
    </xf>
    <xf numFmtId="0" fontId="16" fillId="5" borderId="1" xfId="0" applyFont="1" applyFill="1" applyBorder="1" applyAlignment="1">
      <alignment horizontal="center" vertical="center" textRotation="255" wrapText="1" readingOrder="1"/>
    </xf>
    <xf numFmtId="0" fontId="16" fillId="5" borderId="34" xfId="0" applyFont="1" applyFill="1" applyBorder="1" applyAlignment="1">
      <alignment horizontal="center" vertical="center" textRotation="255" wrapText="1" readingOrder="1"/>
    </xf>
    <xf numFmtId="0" fontId="19" fillId="0" borderId="33" xfId="0" applyFont="1" applyBorder="1" applyAlignment="1">
      <alignment horizontal="center" vertical="center" textRotation="255" wrapText="1" readingOrder="1"/>
    </xf>
    <xf numFmtId="0" fontId="19" fillId="0" borderId="1" xfId="0" applyFont="1" applyBorder="1" applyAlignment="1">
      <alignment horizontal="center" vertical="center" textRotation="255" wrapText="1" readingOrder="1"/>
    </xf>
    <xf numFmtId="0" fontId="19" fillId="0" borderId="34" xfId="0" applyFont="1" applyBorder="1" applyAlignment="1">
      <alignment horizontal="center" vertical="center" textRotation="255" wrapText="1" readingOrder="1"/>
    </xf>
    <xf numFmtId="0" fontId="19" fillId="0" borderId="33" xfId="0" applyFont="1" applyBorder="1" applyAlignment="1">
      <alignment horizontal="center" vertical="center" textRotation="255" readingOrder="1"/>
    </xf>
    <xf numFmtId="0" fontId="19" fillId="0" borderId="1" xfId="0" applyFont="1" applyBorder="1" applyAlignment="1">
      <alignment horizontal="center" vertical="center" textRotation="255" readingOrder="1"/>
    </xf>
    <xf numFmtId="0" fontId="19" fillId="0" borderId="34" xfId="0" applyFont="1" applyBorder="1" applyAlignment="1">
      <alignment horizontal="center" vertical="center" textRotation="255" readingOrder="1"/>
    </xf>
    <xf numFmtId="0" fontId="19" fillId="0" borderId="4" xfId="0" applyFont="1" applyBorder="1" applyAlignment="1">
      <alignment horizontal="center" vertical="center" textRotation="255" readingOrder="1"/>
    </xf>
    <xf numFmtId="0" fontId="19" fillId="0" borderId="5" xfId="0" applyFont="1" applyBorder="1" applyAlignment="1">
      <alignment horizontal="center" vertical="center" textRotation="255" readingOrder="1"/>
    </xf>
    <xf numFmtId="0" fontId="19" fillId="0" borderId="2" xfId="0" applyFont="1" applyBorder="1" applyAlignment="1">
      <alignment horizontal="center" vertical="center" textRotation="255" readingOrder="1"/>
    </xf>
    <xf numFmtId="0" fontId="19" fillId="0" borderId="16" xfId="0" applyFont="1" applyBorder="1" applyAlignment="1">
      <alignment horizontal="center" vertical="center" textRotation="255" readingOrder="1"/>
    </xf>
    <xf numFmtId="49" fontId="23" fillId="4" borderId="0" xfId="3" applyNumberFormat="1" applyFont="1" applyFill="1" applyAlignment="1">
      <alignment horizontal="left" vertical="center"/>
    </xf>
    <xf numFmtId="38" fontId="25" fillId="10" borderId="9" xfId="1" applyFont="1" applyFill="1" applyBorder="1" applyAlignment="1" applyProtection="1">
      <alignment horizontal="left" vertical="center"/>
    </xf>
    <xf numFmtId="38" fontId="25" fillId="16" borderId="9" xfId="1" applyFont="1" applyFill="1" applyBorder="1" applyAlignment="1" applyProtection="1">
      <alignment horizontal="left" vertical="center"/>
    </xf>
    <xf numFmtId="49" fontId="23" fillId="14" borderId="0" xfId="3" applyNumberFormat="1" applyFont="1" applyFill="1" applyAlignment="1">
      <alignment horizontal="left" vertical="center"/>
    </xf>
    <xf numFmtId="38" fontId="25" fillId="11" borderId="30" xfId="1" applyFont="1" applyFill="1" applyBorder="1" applyAlignment="1" applyProtection="1">
      <alignment horizontal="left" vertical="center"/>
    </xf>
    <xf numFmtId="38" fontId="25" fillId="11" borderId="9" xfId="1" applyFont="1" applyFill="1" applyBorder="1" applyAlignment="1" applyProtection="1">
      <alignment horizontal="left" vertical="center"/>
    </xf>
    <xf numFmtId="0" fontId="14" fillId="9" borderId="31" xfId="0" applyFont="1" applyFill="1" applyBorder="1" applyAlignment="1">
      <alignment horizontal="left" vertical="center"/>
    </xf>
    <xf numFmtId="0" fontId="14" fillId="9" borderId="32" xfId="0" applyFont="1" applyFill="1" applyBorder="1" applyAlignment="1">
      <alignment horizontal="left" vertical="center"/>
    </xf>
    <xf numFmtId="38" fontId="25" fillId="12" borderId="31" xfId="1" applyFont="1" applyFill="1" applyBorder="1" applyAlignment="1" applyProtection="1">
      <alignment horizontal="left" vertical="center"/>
    </xf>
    <xf numFmtId="38" fontId="25" fillId="12" borderId="32" xfId="1" applyFont="1" applyFill="1" applyBorder="1" applyAlignment="1" applyProtection="1">
      <alignment horizontal="left" vertical="center"/>
    </xf>
    <xf numFmtId="38" fontId="25" fillId="6" borderId="31" xfId="1" applyFont="1" applyFill="1" applyBorder="1" applyAlignment="1" applyProtection="1">
      <alignment horizontal="left" vertical="center"/>
    </xf>
    <xf numFmtId="38" fontId="25" fillId="6" borderId="32" xfId="1" applyFont="1" applyFill="1" applyBorder="1" applyAlignment="1" applyProtection="1">
      <alignment horizontal="left" vertical="center"/>
    </xf>
    <xf numFmtId="38" fontId="25" fillId="7" borderId="31" xfId="1" applyFont="1" applyFill="1" applyBorder="1" applyAlignment="1" applyProtection="1">
      <alignment horizontal="left" vertical="center"/>
    </xf>
    <xf numFmtId="38" fontId="25" fillId="7" borderId="14" xfId="1" applyFont="1" applyFill="1" applyBorder="1" applyAlignment="1" applyProtection="1">
      <alignment horizontal="left" vertical="center"/>
    </xf>
    <xf numFmtId="38" fontId="25" fillId="0" borderId="9" xfId="1" applyFont="1" applyFill="1" applyBorder="1" applyAlignment="1" applyProtection="1">
      <alignment horizontal="left" vertical="center"/>
    </xf>
    <xf numFmtId="0" fontId="18" fillId="0" borderId="2" xfId="0" applyFont="1" applyBorder="1" applyAlignment="1">
      <alignment horizontal="center" vertical="center" shrinkToFit="1"/>
    </xf>
    <xf numFmtId="0" fontId="18" fillId="0" borderId="16" xfId="0" applyFont="1" applyBorder="1" applyAlignment="1">
      <alignment horizontal="center" vertical="center" shrinkToFit="1"/>
    </xf>
    <xf numFmtId="0" fontId="18" fillId="0" borderId="7" xfId="0" applyFont="1" applyBorder="1" applyAlignment="1">
      <alignment horizontal="center" vertical="center" shrinkToFit="1"/>
    </xf>
    <xf numFmtId="38" fontId="23" fillId="4" borderId="13" xfId="1" applyFont="1" applyFill="1" applyBorder="1" applyAlignment="1" applyProtection="1">
      <alignment horizontal="left" vertical="center"/>
    </xf>
    <xf numFmtId="38" fontId="23" fillId="4" borderId="15" xfId="1" applyFont="1" applyFill="1" applyBorder="1" applyAlignment="1" applyProtection="1">
      <alignment horizontal="left" vertical="center"/>
    </xf>
    <xf numFmtId="38" fontId="14" fillId="10" borderId="9" xfId="1" applyFont="1" applyFill="1" applyBorder="1" applyAlignment="1" applyProtection="1">
      <alignment horizontal="left" vertical="center"/>
    </xf>
    <xf numFmtId="0" fontId="19" fillId="17" borderId="39" xfId="0" applyFont="1" applyFill="1" applyBorder="1" applyAlignment="1">
      <alignment horizontal="center" vertical="center"/>
    </xf>
    <xf numFmtId="0" fontId="19" fillId="17" borderId="40" xfId="0" applyFont="1" applyFill="1" applyBorder="1" applyAlignment="1">
      <alignment horizontal="center" vertical="center"/>
    </xf>
    <xf numFmtId="0" fontId="19" fillId="2" borderId="39" xfId="0" applyFont="1" applyFill="1" applyBorder="1" applyAlignment="1">
      <alignment horizontal="center" vertical="center"/>
    </xf>
    <xf numFmtId="0" fontId="19" fillId="2" borderId="40" xfId="0" applyFont="1" applyFill="1" applyBorder="1" applyAlignment="1">
      <alignment horizontal="center" vertical="center"/>
    </xf>
    <xf numFmtId="0" fontId="19" fillId="2" borderId="41" xfId="0" applyFont="1" applyFill="1" applyBorder="1" applyAlignment="1">
      <alignment horizontal="center" vertical="center"/>
    </xf>
    <xf numFmtId="0" fontId="31" fillId="18" borderId="39" xfId="0" applyFont="1" applyFill="1" applyBorder="1" applyAlignment="1">
      <alignment horizontal="center" vertical="center"/>
    </xf>
    <xf numFmtId="0" fontId="31" fillId="18" borderId="41" xfId="0" applyFont="1" applyFill="1" applyBorder="1" applyAlignment="1">
      <alignment horizontal="center" vertical="center"/>
    </xf>
    <xf numFmtId="0" fontId="14" fillId="8" borderId="53" xfId="4" applyFont="1" applyFill="1" applyBorder="1" applyAlignment="1">
      <alignment horizontal="center" vertical="center"/>
    </xf>
    <xf numFmtId="0" fontId="14" fillId="8" borderId="0" xfId="4" applyFont="1" applyFill="1" applyAlignment="1">
      <alignment horizontal="center" vertical="center"/>
    </xf>
    <xf numFmtId="0" fontId="14" fillId="7" borderId="0" xfId="4" applyFont="1" applyFill="1" applyAlignment="1">
      <alignment horizontal="center" vertical="center"/>
    </xf>
    <xf numFmtId="0" fontId="14" fillId="7" borderId="57" xfId="4" applyFont="1" applyFill="1" applyBorder="1" applyAlignment="1">
      <alignment horizontal="center" vertical="center"/>
    </xf>
    <xf numFmtId="0" fontId="14" fillId="17" borderId="0" xfId="4" applyFont="1" applyFill="1" applyAlignment="1">
      <alignment horizontal="center" vertical="center" textRotation="255"/>
    </xf>
  </cellXfs>
  <cellStyles count="17">
    <cellStyle name="パーセント" xfId="2" builtinId="5"/>
    <cellStyle name="パーセント 2" xfId="6" xr:uid="{D0397C2C-A2FD-4AE8-B812-81E7D337ED8C}"/>
    <cellStyle name="パーセント 3" xfId="9" xr:uid="{CCD64D41-2094-4395-86B7-4923D5DC68BD}"/>
    <cellStyle name="パーセント 4" xfId="11" xr:uid="{2339FE0E-68BF-46F8-9C63-39C0EEC6C9C6}"/>
    <cellStyle name="パーセント 5" xfId="12" xr:uid="{586E6A2C-86E1-4AF0-897D-2C911EB19DEA}"/>
    <cellStyle name="パーセント 6" xfId="14" xr:uid="{3CD96B5C-56FB-4763-BE16-E320392D6CA4}"/>
    <cellStyle name="パーセント 7" xfId="16" xr:uid="{948C1CDE-9C7C-4FBD-8E17-123349BB4511}"/>
    <cellStyle name="ハイパーリンク" xfId="8" builtinId="8"/>
    <cellStyle name="桁区切り" xfId="1" builtinId="6"/>
    <cellStyle name="標準" xfId="0" builtinId="0"/>
    <cellStyle name="標準 2" xfId="3" xr:uid="{9F18E579-EEE0-49B5-B509-11614D8E0A4B}"/>
    <cellStyle name="標準 3" xfId="4" xr:uid="{BC17BD4A-13E9-44BA-9360-B2F394ADE780}"/>
    <cellStyle name="標準 3 2" xfId="5" xr:uid="{C560924A-2049-4E6E-B054-305A2C71246B}"/>
    <cellStyle name="標準 4" xfId="7" xr:uid="{BF8AC1E3-80E2-4498-948A-331B63A3B5C1}"/>
    <cellStyle name="標準 5" xfId="10" xr:uid="{289ADC25-D1F0-4DB7-8144-DB6D6BEDF4D9}"/>
    <cellStyle name="標準 6" xfId="13" xr:uid="{E9F10870-AEC0-40D0-848C-9203CD6B3340}"/>
    <cellStyle name="標準 7" xfId="15" xr:uid="{ADC2161C-3274-466F-A3BF-C7CECCFA6DCE}"/>
  </cellStyles>
  <dxfs count="4">
    <dxf>
      <font>
        <color rgb="FF002060"/>
      </font>
      <fill>
        <patternFill>
          <bgColor theme="4" tint="0.79998168889431442"/>
        </patternFill>
      </fill>
    </dxf>
    <dxf>
      <font>
        <b/>
        <i val="0"/>
        <color theme="1"/>
      </font>
      <fill>
        <patternFill>
          <bgColor rgb="FFFFFF00"/>
        </patternFill>
      </fill>
    </dxf>
    <dxf>
      <font>
        <color rgb="FF9C0006"/>
      </font>
    </dxf>
    <dxf>
      <font>
        <color rgb="FF9C0006"/>
      </font>
    </dxf>
  </dxfs>
  <tableStyles count="0" defaultTableStyle="TableStyleMedium2" defaultPivotStyle="PivotStyleLight16"/>
  <colors>
    <mruColors>
      <color rgb="FFFFFF99"/>
      <color rgb="FFFF7C80"/>
      <color rgb="FFF0A8D0"/>
      <color rgb="FFD9E1F2"/>
      <color rgb="FFFFC6C6"/>
      <color rgb="FFF2AF2A"/>
      <color rgb="FFF5C45E"/>
      <color rgb="FFFFEBD4"/>
      <color rgb="FF93DA97"/>
      <color rgb="FFCBED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34925" cap="rnd">
              <a:solidFill>
                <a:schemeClr val="lt1"/>
              </a:solidFill>
              <a:round/>
            </a:ln>
            <a:effectLst>
              <a:outerShdw dist="25400" dir="2700000" algn="tl" rotWithShape="0">
                <a:schemeClr val="accent1"/>
              </a:outerShdw>
            </a:effectLst>
          </c:spPr>
          <c:marker>
            <c:symbol val="none"/>
          </c:marker>
          <c:val>
            <c:numRef>
              <c:f>('損益計算｜詳細'!$C$69:$N$69,'損益計算｜詳細'!$P$69:$AA$69,'損益計算｜詳細'!$AC$69:$AN$69,'損益計算｜詳細'!$AP$69:$BA$69,'損益計算｜詳細'!$BC$69:$BN$69,'損益計算｜詳細'!$BP$69:$CA$69,'損益計算｜詳細'!$CC$69:$CN$69,'損益計算｜詳細'!$CP$69:$DA$69,'損益計算｜詳細'!$DC$69:$DN$69,'損益計算｜詳細'!$DP$69:$EA$69)</c:f>
              <c:numCache>
                <c:formatCode>0.0%</c:formatCode>
                <c:ptCount val="120"/>
                <c:pt idx="0">
                  <c:v>0</c:v>
                </c:pt>
                <c:pt idx="1">
                  <c:v>-2.0282623440171565E-2</c:v>
                </c:pt>
                <c:pt idx="2">
                  <c:v>-0.11533063545592812</c:v>
                </c:pt>
                <c:pt idx="3">
                  <c:v>-0.21037864747168467</c:v>
                </c:pt>
                <c:pt idx="4">
                  <c:v>-0.21649313344857887</c:v>
                </c:pt>
                <c:pt idx="5">
                  <c:v>-0.21785048821882796</c:v>
                </c:pt>
                <c:pt idx="6">
                  <c:v>-0.20976872414455447</c:v>
                </c:pt>
                <c:pt idx="7">
                  <c:v>-0.19382513881561694</c:v>
                </c:pt>
                <c:pt idx="8">
                  <c:v>-0.1688547289760938</c:v>
                </c:pt>
                <c:pt idx="9">
                  <c:v>-0.13863057079835756</c:v>
                </c:pt>
                <c:pt idx="10">
                  <c:v>-0.10749934441323035</c:v>
                </c:pt>
                <c:pt idx="11">
                  <c:v>-7.5444881960197177E-2</c:v>
                </c:pt>
                <c:pt idx="12">
                  <c:v>-3.1506410525617187E-2</c:v>
                </c:pt>
                <c:pt idx="13">
                  <c:v>2.3866727689742788E-2</c:v>
                </c:pt>
                <c:pt idx="14">
                  <c:v>6.8419396754578629E-2</c:v>
                </c:pt>
                <c:pt idx="15">
                  <c:v>0.11758342376526783</c:v>
                </c:pt>
                <c:pt idx="16">
                  <c:v>0.17085120532410242</c:v>
                </c:pt>
                <c:pt idx="17">
                  <c:v>0.22531758937041402</c:v>
                </c:pt>
                <c:pt idx="18">
                  <c:v>0.28934702140276569</c:v>
                </c:pt>
                <c:pt idx="19">
                  <c:v>0.35410926506991569</c:v>
                </c:pt>
                <c:pt idx="20">
                  <c:v>0.42264135213759357</c:v>
                </c:pt>
                <c:pt idx="21">
                  <c:v>0.49364468636186698</c:v>
                </c:pt>
                <c:pt idx="22">
                  <c:v>0.56200149553335399</c:v>
                </c:pt>
                <c:pt idx="23">
                  <c:v>0.63672518077156071</c:v>
                </c:pt>
                <c:pt idx="24">
                  <c:v>0.70169172634746413</c:v>
                </c:pt>
                <c:pt idx="25">
                  <c:v>0.78360333349824929</c:v>
                </c:pt>
                <c:pt idx="26">
                  <c:v>0.86477835195316766</c:v>
                </c:pt>
                <c:pt idx="27">
                  <c:v>0.95464133543508434</c:v>
                </c:pt>
                <c:pt idx="28">
                  <c:v>1.0406969228108698</c:v>
                </c:pt>
                <c:pt idx="29">
                  <c:v>1.1305425945539678</c:v>
                </c:pt>
                <c:pt idx="30">
                  <c:v>1.2211309776034327</c:v>
                </c:pt>
                <c:pt idx="31">
                  <c:v>1.312129357521471</c:v>
                </c:pt>
                <c:pt idx="32">
                  <c:v>1.402901270807599</c:v>
                </c:pt>
                <c:pt idx="33">
                  <c:v>1.4949471429991963</c:v>
                </c:pt>
                <c:pt idx="34">
                  <c:v>1.5852557121223849</c:v>
                </c:pt>
                <c:pt idx="35">
                  <c:v>1.6759704993979294</c:v>
                </c:pt>
                <c:pt idx="36">
                  <c:v>1.7627972292711078</c:v>
                </c:pt>
                <c:pt idx="37">
                  <c:v>1.8524594055366483</c:v>
                </c:pt>
                <c:pt idx="38">
                  <c:v>1.9388641376330575</c:v>
                </c:pt>
                <c:pt idx="39">
                  <c:v>2.0263792883807881</c:v>
                </c:pt>
                <c:pt idx="40">
                  <c:v>2.1144051722538455</c:v>
                </c:pt>
                <c:pt idx="41">
                  <c:v>2.2027326121541755</c:v>
                </c:pt>
                <c:pt idx="42">
                  <c:v>2.2915778980847419</c:v>
                </c:pt>
                <c:pt idx="43">
                  <c:v>2.3820704352250868</c:v>
                </c:pt>
                <c:pt idx="44">
                  <c:v>2.4736364646053173</c:v>
                </c:pt>
                <c:pt idx="45">
                  <c:v>2.564846924897898</c:v>
                </c:pt>
                <c:pt idx="46">
                  <c:v>2.6560890608980801</c:v>
                </c:pt>
                <c:pt idx="47">
                  <c:v>2.7470621231426624</c:v>
                </c:pt>
                <c:pt idx="48">
                  <c:v>2.8402666287709684</c:v>
                </c:pt>
                <c:pt idx="49">
                  <c:v>2.9336457016908271</c:v>
                </c:pt>
                <c:pt idx="50">
                  <c:v>3.02558756471154</c:v>
                </c:pt>
                <c:pt idx="51">
                  <c:v>3.1184146114902029</c:v>
                </c:pt>
                <c:pt idx="52">
                  <c:v>3.211535490191876</c:v>
                </c:pt>
                <c:pt idx="53">
                  <c:v>3.3047490490629916</c:v>
                </c:pt>
                <c:pt idx="54">
                  <c:v>3.3982793065132526</c:v>
                </c:pt>
                <c:pt idx="55">
                  <c:v>3.4932631101778915</c:v>
                </c:pt>
                <c:pt idx="56">
                  <c:v>3.5891338681718454</c:v>
                </c:pt>
                <c:pt idx="57">
                  <c:v>3.6844694210702706</c:v>
                </c:pt>
                <c:pt idx="58">
                  <c:v>3.7796636602007081</c:v>
                </c:pt>
                <c:pt idx="59">
                  <c:v>3.8744222367105556</c:v>
                </c:pt>
                <c:pt idx="60">
                  <c:v>3.9712447841484835</c:v>
                </c:pt>
                <c:pt idx="61">
                  <c:v>4.068066941976169</c:v>
                </c:pt>
                <c:pt idx="62">
                  <c:v>4.1809866828473359</c:v>
                </c:pt>
                <c:pt idx="63">
                  <c:v>4.2946483388432322</c:v>
                </c:pt>
                <c:pt idx="64">
                  <c:v>4.4084658590683476</c:v>
                </c:pt>
                <c:pt idx="65">
                  <c:v>4.5222431965737835</c:v>
                </c:pt>
                <c:pt idx="66">
                  <c:v>4.6362092856961405</c:v>
                </c:pt>
                <c:pt idx="67">
                  <c:v>4.7515057081082555</c:v>
                </c:pt>
                <c:pt idx="68">
                  <c:v>4.8675704308032737</c:v>
                </c:pt>
                <c:pt idx="69">
                  <c:v>4.9829856845560689</c:v>
                </c:pt>
                <c:pt idx="70">
                  <c:v>5.0981495884565122</c:v>
                </c:pt>
                <c:pt idx="71">
                  <c:v>5.2127718649871211</c:v>
                </c:pt>
                <c:pt idx="72">
                  <c:v>5.3293401968263705</c:v>
                </c:pt>
                <c:pt idx="73">
                  <c:v>5.4457968515198747</c:v>
                </c:pt>
                <c:pt idx="74">
                  <c:v>5.5605728905791407</c:v>
                </c:pt>
                <c:pt idx="75">
                  <c:v>5.6759997136734661</c:v>
                </c:pt>
                <c:pt idx="76">
                  <c:v>5.7914946417576552</c:v>
                </c:pt>
                <c:pt idx="77">
                  <c:v>5.9068648749746684</c:v>
                </c:pt>
                <c:pt idx="78">
                  <c:v>6.0223424746105616</c:v>
                </c:pt>
                <c:pt idx="79">
                  <c:v>6.1390720335904989</c:v>
                </c:pt>
                <c:pt idx="80">
                  <c:v>6.2564944187436193</c:v>
                </c:pt>
                <c:pt idx="81">
                  <c:v>6.3731946533868564</c:v>
                </c:pt>
                <c:pt idx="82">
                  <c:v>6.4895735458280805</c:v>
                </c:pt>
                <c:pt idx="83">
                  <c:v>6.6053434082667515</c:v>
                </c:pt>
                <c:pt idx="84">
                  <c:v>6.7229723633343648</c:v>
                </c:pt>
                <c:pt idx="85">
                  <c:v>6.8404188528767431</c:v>
                </c:pt>
                <c:pt idx="86">
                  <c:v>6.9561245324359282</c:v>
                </c:pt>
                <c:pt idx="87">
                  <c:v>7.0724230288721275</c:v>
                </c:pt>
                <c:pt idx="88">
                  <c:v>7.1887338079249945</c:v>
                </c:pt>
                <c:pt idx="89">
                  <c:v>7.3048661351652955</c:v>
                </c:pt>
                <c:pt idx="90">
                  <c:v>7.4210540608860693</c:v>
                </c:pt>
                <c:pt idx="91">
                  <c:v>7.5384440934261985</c:v>
                </c:pt>
                <c:pt idx="92">
                  <c:v>7.6564789441582368</c:v>
                </c:pt>
                <c:pt idx="93">
                  <c:v>7.7737454126944234</c:v>
                </c:pt>
                <c:pt idx="94">
                  <c:v>7.8906460179150111</c:v>
                </c:pt>
                <c:pt idx="95">
                  <c:v>8.0068947193006608</c:v>
                </c:pt>
                <c:pt idx="96">
                  <c:v>8.1249346414358037</c:v>
                </c:pt>
                <c:pt idx="97">
                  <c:v>8.2427470705891501</c:v>
                </c:pt>
                <c:pt idx="98">
                  <c:v>8.3587804010111739</c:v>
                </c:pt>
                <c:pt idx="99">
                  <c:v>8.4753696762457604</c:v>
                </c:pt>
                <c:pt idx="100">
                  <c:v>8.5919357262989493</c:v>
                </c:pt>
                <c:pt idx="101">
                  <c:v>8.7082891305300372</c:v>
                </c:pt>
                <c:pt idx="102">
                  <c:v>8.8246652044104117</c:v>
                </c:pt>
                <c:pt idx="103">
                  <c:v>8.9422116746457139</c:v>
                </c:pt>
                <c:pt idx="104">
                  <c:v>9.0603724258956753</c:v>
                </c:pt>
                <c:pt idx="105">
                  <c:v>9.1777353876481005</c:v>
                </c:pt>
                <c:pt idx="106">
                  <c:v>9.2947041668533998</c:v>
                </c:pt>
                <c:pt idx="107">
                  <c:v>9.4109937708038007</c:v>
                </c:pt>
                <c:pt idx="108">
                  <c:v>9.5290182391947535</c:v>
                </c:pt>
                <c:pt idx="109">
                  <c:v>9.646786573294996</c:v>
                </c:pt>
                <c:pt idx="110">
                  <c:v>9.7627514537492281</c:v>
                </c:pt>
                <c:pt idx="111">
                  <c:v>9.8792488252331818</c:v>
                </c:pt>
                <c:pt idx="112">
                  <c:v>9.9957003855428592</c:v>
                </c:pt>
                <c:pt idx="113">
                  <c:v>10.111917549719296</c:v>
                </c:pt>
                <c:pt idx="114">
                  <c:v>10.228136437995389</c:v>
                </c:pt>
                <c:pt idx="115">
                  <c:v>10.345505552062116</c:v>
                </c:pt>
                <c:pt idx="116">
                  <c:v>10.46346952289009</c:v>
                </c:pt>
                <c:pt idx="117">
                  <c:v>10.580616998664491</c:v>
                </c:pt>
                <c:pt idx="118">
                  <c:v>10.697352278441299</c:v>
                </c:pt>
                <c:pt idx="119">
                  <c:v>10.813391036010414</c:v>
                </c:pt>
              </c:numCache>
            </c:numRef>
          </c:val>
          <c:smooth val="0"/>
          <c:extLst>
            <c:ext xmlns:c16="http://schemas.microsoft.com/office/drawing/2014/chart" uri="{C3380CC4-5D6E-409C-BE32-E72D297353CC}">
              <c16:uniqueId val="{00000000-F32E-4403-AB0B-BD7980B84FAE}"/>
            </c:ext>
          </c:extLst>
        </c:ser>
        <c:dLbls>
          <c:showLegendKey val="0"/>
          <c:showVal val="0"/>
          <c:showCatName val="0"/>
          <c:showSerName val="0"/>
          <c:showPercent val="0"/>
          <c:showBubbleSize val="0"/>
        </c:dLbls>
        <c:dropLines>
          <c:spPr>
            <a:ln w="9525" cap="flat" cmpd="sng" algn="ctr">
              <a:gradFill>
                <a:gsLst>
                  <a:gs pos="0">
                    <a:schemeClr val="lt1"/>
                  </a:gs>
                  <a:gs pos="100000">
                    <a:schemeClr val="lt1">
                      <a:alpha val="0"/>
                    </a:schemeClr>
                  </a:gs>
                </a:gsLst>
                <a:lin ang="5400000" scaled="0"/>
              </a:gradFill>
              <a:round/>
            </a:ln>
            <a:effectLst/>
          </c:spPr>
        </c:dropLines>
        <c:smooth val="0"/>
        <c:axId val="1028175760"/>
        <c:axId val="1028177200"/>
      </c:lineChart>
      <c:catAx>
        <c:axId val="1028175760"/>
        <c:scaling>
          <c:orientation val="minMax"/>
        </c:scaling>
        <c:delete val="1"/>
        <c:axPos val="b"/>
        <c:majorTickMark val="none"/>
        <c:minorTickMark val="none"/>
        <c:tickLblPos val="nextTo"/>
        <c:crossAx val="1028177200"/>
        <c:crosses val="autoZero"/>
        <c:auto val="1"/>
        <c:lblAlgn val="ctr"/>
        <c:lblOffset val="100"/>
        <c:noMultiLvlLbl val="0"/>
      </c:catAx>
      <c:valAx>
        <c:axId val="1028177200"/>
        <c:scaling>
          <c:orientation val="minMax"/>
        </c:scaling>
        <c:delete val="0"/>
        <c:axPos val="l"/>
        <c:majorGridlines>
          <c:spPr>
            <a:ln w="12700" cap="flat" cmpd="sng" algn="ctr">
              <a:solidFill>
                <a:schemeClr val="bg1">
                  <a:alpha val="2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solidFill>
                <a:latin typeface="+mn-lt"/>
                <a:ea typeface="+mn-ea"/>
                <a:cs typeface="+mn-cs"/>
              </a:defRPr>
            </a:pPr>
            <a:endParaRPr lang="ja-JP"/>
          </a:p>
        </c:txPr>
        <c:crossAx val="1028175760"/>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1"/>
    </a:solidFill>
    <a:ln w="9525" cap="flat" cmpd="sng" algn="ctr">
      <a:solidFill>
        <a:schemeClr val="accent1"/>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34925" cap="rnd">
              <a:solidFill>
                <a:schemeClr val="lt1"/>
              </a:solidFill>
              <a:round/>
            </a:ln>
            <a:effectLst>
              <a:outerShdw dist="25400" dir="2700000" algn="tl" rotWithShape="0">
                <a:schemeClr val="accent1"/>
              </a:outerShdw>
            </a:effectLst>
          </c:spPr>
          <c:marker>
            <c:symbol val="none"/>
          </c:marker>
          <c:val>
            <c:numRef>
              <c:f>('損益計算｜詳細'!$C$69:$N$69,'損益計算｜詳細'!$P$69:$AA$69,'損益計算｜詳細'!$AC$69:$AN$69,'損益計算｜詳細'!$AP$69:$BA$69,'損益計算｜詳細'!$BC$69:$BN$69,'損益計算｜詳細'!$BP$69:$CA$69,'損益計算｜詳細'!$CC$69:$CN$69,'損益計算｜詳細'!$CP$69:$DA$69,'損益計算｜詳細'!$DC$69:$DN$69,'損益計算｜詳細'!$DP$69:$EA$69)</c:f>
              <c:numCache>
                <c:formatCode>0.0%</c:formatCode>
                <c:ptCount val="120"/>
                <c:pt idx="0">
                  <c:v>0</c:v>
                </c:pt>
                <c:pt idx="1">
                  <c:v>-2.0282623440171565E-2</c:v>
                </c:pt>
                <c:pt idx="2">
                  <c:v>-0.11533063545592812</c:v>
                </c:pt>
                <c:pt idx="3">
                  <c:v>-0.21037864747168467</c:v>
                </c:pt>
                <c:pt idx="4">
                  <c:v>-0.21649313344857887</c:v>
                </c:pt>
                <c:pt idx="5">
                  <c:v>-0.21785048821882796</c:v>
                </c:pt>
                <c:pt idx="6">
                  <c:v>-0.20976872414455447</c:v>
                </c:pt>
                <c:pt idx="7">
                  <c:v>-0.19382513881561694</c:v>
                </c:pt>
                <c:pt idx="8">
                  <c:v>-0.1688547289760938</c:v>
                </c:pt>
                <c:pt idx="9">
                  <c:v>-0.13863057079835756</c:v>
                </c:pt>
                <c:pt idx="10">
                  <c:v>-0.10749934441323035</c:v>
                </c:pt>
                <c:pt idx="11">
                  <c:v>-7.5444881960197177E-2</c:v>
                </c:pt>
                <c:pt idx="12">
                  <c:v>-3.1506410525617187E-2</c:v>
                </c:pt>
                <c:pt idx="13">
                  <c:v>2.3866727689742788E-2</c:v>
                </c:pt>
                <c:pt idx="14">
                  <c:v>6.8419396754578629E-2</c:v>
                </c:pt>
                <c:pt idx="15">
                  <c:v>0.11758342376526783</c:v>
                </c:pt>
                <c:pt idx="16">
                  <c:v>0.17085120532410242</c:v>
                </c:pt>
                <c:pt idx="17">
                  <c:v>0.22531758937041402</c:v>
                </c:pt>
                <c:pt idx="18">
                  <c:v>0.28934702140276569</c:v>
                </c:pt>
                <c:pt idx="19">
                  <c:v>0.35410926506991569</c:v>
                </c:pt>
                <c:pt idx="20">
                  <c:v>0.42264135213759357</c:v>
                </c:pt>
                <c:pt idx="21">
                  <c:v>0.49364468636186698</c:v>
                </c:pt>
                <c:pt idx="22">
                  <c:v>0.56200149553335399</c:v>
                </c:pt>
                <c:pt idx="23">
                  <c:v>0.63672518077156071</c:v>
                </c:pt>
                <c:pt idx="24">
                  <c:v>0.70169172634746413</c:v>
                </c:pt>
                <c:pt idx="25">
                  <c:v>0.78360333349824929</c:v>
                </c:pt>
                <c:pt idx="26">
                  <c:v>0.86477835195316766</c:v>
                </c:pt>
                <c:pt idx="27">
                  <c:v>0.95464133543508434</c:v>
                </c:pt>
                <c:pt idx="28">
                  <c:v>1.0406969228108698</c:v>
                </c:pt>
                <c:pt idx="29">
                  <c:v>1.1305425945539678</c:v>
                </c:pt>
                <c:pt idx="30">
                  <c:v>1.2211309776034327</c:v>
                </c:pt>
                <c:pt idx="31">
                  <c:v>1.312129357521471</c:v>
                </c:pt>
                <c:pt idx="32">
                  <c:v>1.402901270807599</c:v>
                </c:pt>
                <c:pt idx="33">
                  <c:v>1.4949471429991963</c:v>
                </c:pt>
                <c:pt idx="34">
                  <c:v>1.5852557121223849</c:v>
                </c:pt>
                <c:pt idx="35">
                  <c:v>1.6759704993979294</c:v>
                </c:pt>
                <c:pt idx="36">
                  <c:v>1.7627972292711078</c:v>
                </c:pt>
                <c:pt idx="37">
                  <c:v>1.8524594055366483</c:v>
                </c:pt>
                <c:pt idx="38">
                  <c:v>1.9388641376330575</c:v>
                </c:pt>
                <c:pt idx="39">
                  <c:v>2.0263792883807881</c:v>
                </c:pt>
                <c:pt idx="40">
                  <c:v>2.1144051722538455</c:v>
                </c:pt>
                <c:pt idx="41">
                  <c:v>2.2027326121541755</c:v>
                </c:pt>
                <c:pt idx="42">
                  <c:v>2.2915778980847419</c:v>
                </c:pt>
                <c:pt idx="43">
                  <c:v>2.3820704352250868</c:v>
                </c:pt>
                <c:pt idx="44">
                  <c:v>2.4736364646053173</c:v>
                </c:pt>
                <c:pt idx="45">
                  <c:v>2.564846924897898</c:v>
                </c:pt>
                <c:pt idx="46">
                  <c:v>2.6560890608980801</c:v>
                </c:pt>
                <c:pt idx="47">
                  <c:v>2.7470621231426624</c:v>
                </c:pt>
                <c:pt idx="48">
                  <c:v>2.8402666287709684</c:v>
                </c:pt>
                <c:pt idx="49">
                  <c:v>2.9336457016908271</c:v>
                </c:pt>
                <c:pt idx="50">
                  <c:v>3.02558756471154</c:v>
                </c:pt>
                <c:pt idx="51">
                  <c:v>3.1184146114902029</c:v>
                </c:pt>
                <c:pt idx="52">
                  <c:v>3.211535490191876</c:v>
                </c:pt>
                <c:pt idx="53">
                  <c:v>3.3047490490629916</c:v>
                </c:pt>
                <c:pt idx="54">
                  <c:v>3.3982793065132526</c:v>
                </c:pt>
                <c:pt idx="55">
                  <c:v>3.4932631101778915</c:v>
                </c:pt>
                <c:pt idx="56">
                  <c:v>3.5891338681718454</c:v>
                </c:pt>
                <c:pt idx="57">
                  <c:v>3.6844694210702706</c:v>
                </c:pt>
                <c:pt idx="58">
                  <c:v>3.7796636602007081</c:v>
                </c:pt>
                <c:pt idx="59">
                  <c:v>3.8744222367105556</c:v>
                </c:pt>
                <c:pt idx="60">
                  <c:v>3.9712447841484835</c:v>
                </c:pt>
                <c:pt idx="61">
                  <c:v>4.068066941976169</c:v>
                </c:pt>
                <c:pt idx="62">
                  <c:v>4.1809866828473359</c:v>
                </c:pt>
                <c:pt idx="63">
                  <c:v>4.2946483388432322</c:v>
                </c:pt>
                <c:pt idx="64">
                  <c:v>4.4084658590683476</c:v>
                </c:pt>
                <c:pt idx="65">
                  <c:v>4.5222431965737835</c:v>
                </c:pt>
                <c:pt idx="66">
                  <c:v>4.6362092856961405</c:v>
                </c:pt>
                <c:pt idx="67">
                  <c:v>4.7515057081082555</c:v>
                </c:pt>
                <c:pt idx="68">
                  <c:v>4.8675704308032737</c:v>
                </c:pt>
                <c:pt idx="69">
                  <c:v>4.9829856845560689</c:v>
                </c:pt>
                <c:pt idx="70">
                  <c:v>5.0981495884565122</c:v>
                </c:pt>
                <c:pt idx="71">
                  <c:v>5.2127718649871211</c:v>
                </c:pt>
                <c:pt idx="72">
                  <c:v>5.3293401968263705</c:v>
                </c:pt>
                <c:pt idx="73">
                  <c:v>5.4457968515198747</c:v>
                </c:pt>
                <c:pt idx="74">
                  <c:v>5.5605728905791407</c:v>
                </c:pt>
                <c:pt idx="75">
                  <c:v>5.6759997136734661</c:v>
                </c:pt>
                <c:pt idx="76">
                  <c:v>5.7914946417576552</c:v>
                </c:pt>
                <c:pt idx="77">
                  <c:v>5.9068648749746684</c:v>
                </c:pt>
                <c:pt idx="78">
                  <c:v>6.0223424746105616</c:v>
                </c:pt>
                <c:pt idx="79">
                  <c:v>6.1390720335904989</c:v>
                </c:pt>
                <c:pt idx="80">
                  <c:v>6.2564944187436193</c:v>
                </c:pt>
                <c:pt idx="81">
                  <c:v>6.3731946533868564</c:v>
                </c:pt>
                <c:pt idx="82">
                  <c:v>6.4895735458280805</c:v>
                </c:pt>
                <c:pt idx="83">
                  <c:v>6.6053434082667515</c:v>
                </c:pt>
                <c:pt idx="84">
                  <c:v>6.7229723633343648</c:v>
                </c:pt>
                <c:pt idx="85">
                  <c:v>6.8404188528767431</c:v>
                </c:pt>
                <c:pt idx="86">
                  <c:v>6.9561245324359282</c:v>
                </c:pt>
                <c:pt idx="87">
                  <c:v>7.0724230288721275</c:v>
                </c:pt>
                <c:pt idx="88">
                  <c:v>7.1887338079249945</c:v>
                </c:pt>
                <c:pt idx="89">
                  <c:v>7.3048661351652955</c:v>
                </c:pt>
                <c:pt idx="90">
                  <c:v>7.4210540608860693</c:v>
                </c:pt>
                <c:pt idx="91">
                  <c:v>7.5384440934261985</c:v>
                </c:pt>
                <c:pt idx="92">
                  <c:v>7.6564789441582368</c:v>
                </c:pt>
                <c:pt idx="93">
                  <c:v>7.7737454126944234</c:v>
                </c:pt>
                <c:pt idx="94">
                  <c:v>7.8906460179150111</c:v>
                </c:pt>
                <c:pt idx="95">
                  <c:v>8.0068947193006608</c:v>
                </c:pt>
                <c:pt idx="96">
                  <c:v>8.1249346414358037</c:v>
                </c:pt>
                <c:pt idx="97">
                  <c:v>8.2427470705891501</c:v>
                </c:pt>
                <c:pt idx="98">
                  <c:v>8.3587804010111739</c:v>
                </c:pt>
                <c:pt idx="99">
                  <c:v>8.4753696762457604</c:v>
                </c:pt>
                <c:pt idx="100">
                  <c:v>8.5919357262989493</c:v>
                </c:pt>
                <c:pt idx="101">
                  <c:v>8.7082891305300372</c:v>
                </c:pt>
                <c:pt idx="102">
                  <c:v>8.8246652044104117</c:v>
                </c:pt>
                <c:pt idx="103">
                  <c:v>8.9422116746457139</c:v>
                </c:pt>
                <c:pt idx="104">
                  <c:v>9.0603724258956753</c:v>
                </c:pt>
                <c:pt idx="105">
                  <c:v>9.1777353876481005</c:v>
                </c:pt>
                <c:pt idx="106">
                  <c:v>9.2947041668533998</c:v>
                </c:pt>
                <c:pt idx="107">
                  <c:v>9.4109937708038007</c:v>
                </c:pt>
                <c:pt idx="108">
                  <c:v>9.5290182391947535</c:v>
                </c:pt>
                <c:pt idx="109">
                  <c:v>9.646786573294996</c:v>
                </c:pt>
                <c:pt idx="110">
                  <c:v>9.7627514537492281</c:v>
                </c:pt>
                <c:pt idx="111">
                  <c:v>9.8792488252331818</c:v>
                </c:pt>
                <c:pt idx="112">
                  <c:v>9.9957003855428592</c:v>
                </c:pt>
                <c:pt idx="113">
                  <c:v>10.111917549719296</c:v>
                </c:pt>
                <c:pt idx="114">
                  <c:v>10.228136437995389</c:v>
                </c:pt>
                <c:pt idx="115">
                  <c:v>10.345505552062116</c:v>
                </c:pt>
                <c:pt idx="116">
                  <c:v>10.46346952289009</c:v>
                </c:pt>
                <c:pt idx="117">
                  <c:v>10.580616998664491</c:v>
                </c:pt>
                <c:pt idx="118">
                  <c:v>10.697352278441299</c:v>
                </c:pt>
                <c:pt idx="119">
                  <c:v>10.813391036010414</c:v>
                </c:pt>
              </c:numCache>
            </c:numRef>
          </c:val>
          <c:smooth val="0"/>
          <c:extLst>
            <c:ext xmlns:c16="http://schemas.microsoft.com/office/drawing/2014/chart" uri="{C3380CC4-5D6E-409C-BE32-E72D297353CC}">
              <c16:uniqueId val="{00000000-A930-4688-BCCA-55B14CF04C14}"/>
            </c:ext>
          </c:extLst>
        </c:ser>
        <c:dLbls>
          <c:showLegendKey val="0"/>
          <c:showVal val="0"/>
          <c:showCatName val="0"/>
          <c:showSerName val="0"/>
          <c:showPercent val="0"/>
          <c:showBubbleSize val="0"/>
        </c:dLbls>
        <c:dropLines>
          <c:spPr>
            <a:ln w="9525" cap="flat" cmpd="sng" algn="ctr">
              <a:gradFill>
                <a:gsLst>
                  <a:gs pos="0">
                    <a:schemeClr val="lt1"/>
                  </a:gs>
                  <a:gs pos="100000">
                    <a:schemeClr val="lt1">
                      <a:alpha val="0"/>
                    </a:schemeClr>
                  </a:gs>
                </a:gsLst>
                <a:lin ang="5400000" scaled="0"/>
              </a:gradFill>
              <a:round/>
            </a:ln>
            <a:effectLst/>
          </c:spPr>
        </c:dropLines>
        <c:smooth val="0"/>
        <c:axId val="1028175760"/>
        <c:axId val="1028177200"/>
      </c:lineChart>
      <c:catAx>
        <c:axId val="1028175760"/>
        <c:scaling>
          <c:orientation val="minMax"/>
        </c:scaling>
        <c:delete val="1"/>
        <c:axPos val="b"/>
        <c:majorTickMark val="none"/>
        <c:minorTickMark val="none"/>
        <c:tickLblPos val="nextTo"/>
        <c:crossAx val="1028177200"/>
        <c:crosses val="autoZero"/>
        <c:auto val="1"/>
        <c:lblAlgn val="ctr"/>
        <c:lblOffset val="100"/>
        <c:noMultiLvlLbl val="0"/>
      </c:catAx>
      <c:valAx>
        <c:axId val="1028177200"/>
        <c:scaling>
          <c:orientation val="minMax"/>
        </c:scaling>
        <c:delete val="0"/>
        <c:axPos val="l"/>
        <c:majorGridlines>
          <c:spPr>
            <a:ln w="12700" cap="flat" cmpd="sng" algn="ctr">
              <a:solidFill>
                <a:schemeClr val="bg1">
                  <a:alpha val="2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solidFill>
                <a:latin typeface="+mn-lt"/>
                <a:ea typeface="+mn-ea"/>
                <a:cs typeface="+mn-cs"/>
              </a:defRPr>
            </a:pPr>
            <a:endParaRPr lang="ja-JP"/>
          </a:p>
        </c:txPr>
        <c:crossAx val="1028175760"/>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1"/>
    </a:solidFill>
    <a:ln w="9525" cap="flat" cmpd="sng" algn="ctr">
      <a:solidFill>
        <a:schemeClr val="accent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9">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12700" cap="flat" cmpd="sng" algn="ctr">
        <a:solidFill>
          <a:schemeClr val="lt1"/>
        </a:solidFill>
        <a:round/>
      </a:ln>
    </cs:spPr>
    <cs:defRPr sz="900" kern="1200" spc="10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effectRef idx="0"/>
    <cs:fontRef idx="minor">
      <a:schemeClr val="lt1"/>
    </cs:fontRef>
    <cs:defRPr sz="900" b="1"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fillRef idx="0"/>
    <cs:effectRef idx="0"/>
    <cs:fontRef idx="minor">
      <a:schemeClr val="dk1"/>
    </cs:fontRef>
    <cs:spPr>
      <a:ln w="9525" cap="flat" cmpd="sng" algn="ctr">
        <a:gradFill>
          <a:gsLst>
            <a:gs pos="0">
              <a:schemeClr val="lt1"/>
            </a:gs>
            <a:gs pos="100000">
              <a:schemeClr val="lt1">
                <a:alpha val="0"/>
              </a:schemeClr>
            </a:gs>
          </a:gsLst>
          <a:lin ang="5400000" scaled="0"/>
        </a:gradFill>
        <a:round/>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9">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12700" cap="flat" cmpd="sng" algn="ctr">
        <a:solidFill>
          <a:schemeClr val="lt1"/>
        </a:solidFill>
        <a:round/>
      </a:ln>
    </cs:spPr>
    <cs:defRPr sz="900" kern="1200" spc="10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effectRef idx="0"/>
    <cs:fontRef idx="minor">
      <a:schemeClr val="lt1"/>
    </cs:fontRef>
    <cs:defRPr sz="900" b="1"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fillRef idx="0"/>
    <cs:effectRef idx="0"/>
    <cs:fontRef idx="minor">
      <a:schemeClr val="dk1"/>
    </cs:fontRef>
    <cs:spPr>
      <a:ln w="9525" cap="flat" cmpd="sng" algn="ctr">
        <a:gradFill>
          <a:gsLst>
            <a:gs pos="0">
              <a:schemeClr val="lt1"/>
            </a:gs>
            <a:gs pos="100000">
              <a:schemeClr val="lt1">
                <a:alpha val="0"/>
              </a:schemeClr>
            </a:gs>
          </a:gsLst>
          <a:lin ang="5400000" scaled="0"/>
        </a:gradFill>
        <a:round/>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0</xdr:colOff>
      <xdr:row>41</xdr:row>
      <xdr:rowOff>0</xdr:rowOff>
    </xdr:from>
    <xdr:to>
      <xdr:col>21</xdr:col>
      <xdr:colOff>17319</xdr:colOff>
      <xdr:row>59</xdr:row>
      <xdr:rowOff>17318</xdr:rowOff>
    </xdr:to>
    <xdr:graphicFrame macro="">
      <xdr:nvGraphicFramePr>
        <xdr:cNvPr id="5" name="グラフ 4">
          <a:extLst>
            <a:ext uri="{FF2B5EF4-FFF2-40B4-BE49-F238E27FC236}">
              <a16:creationId xmlns:a16="http://schemas.microsoft.com/office/drawing/2014/main" id="{580F4030-FAAF-42AF-B33A-B0F3F6AD2C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41</xdr:row>
      <xdr:rowOff>0</xdr:rowOff>
    </xdr:from>
    <xdr:to>
      <xdr:col>21</xdr:col>
      <xdr:colOff>17319</xdr:colOff>
      <xdr:row>59</xdr:row>
      <xdr:rowOff>17318</xdr:rowOff>
    </xdr:to>
    <xdr:graphicFrame macro="">
      <xdr:nvGraphicFramePr>
        <xdr:cNvPr id="2" name="グラフ 1">
          <a:extLst>
            <a:ext uri="{FF2B5EF4-FFF2-40B4-BE49-F238E27FC236}">
              <a16:creationId xmlns:a16="http://schemas.microsoft.com/office/drawing/2014/main" id="{BC36EDE0-E537-43C6-8145-CF0A559928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3256D-9214-4A8E-8A5E-C1B2CEA2BB66}">
  <sheetPr>
    <tabColor rgb="FFFFFF00"/>
  </sheetPr>
  <dimension ref="A2:T63"/>
  <sheetViews>
    <sheetView tabSelected="1" view="pageBreakPreview" zoomScale="60" zoomScaleNormal="60" workbookViewId="0">
      <selection activeCell="J25" sqref="J25"/>
    </sheetView>
  </sheetViews>
  <sheetFormatPr defaultColWidth="30.58203125" defaultRowHeight="30" customHeight="1"/>
  <cols>
    <col min="1" max="1" width="30.58203125" style="230"/>
    <col min="2" max="3" width="30.58203125" style="8" customWidth="1"/>
    <col min="4" max="4" width="7.4140625" style="8" customWidth="1"/>
    <col min="5" max="5" width="30.58203125" style="1" customWidth="1"/>
    <col min="6" max="7" width="31.4140625" style="1" customWidth="1"/>
    <col min="8" max="8" width="7.4140625" style="1" customWidth="1"/>
    <col min="9" max="9" width="31.4140625" style="1" customWidth="1"/>
    <col min="10" max="10" width="30.58203125" style="1"/>
    <col min="11" max="11" width="30.58203125" style="1" customWidth="1"/>
    <col min="12" max="16384" width="30.58203125" style="1"/>
  </cols>
  <sheetData>
    <row r="2" spans="1:12" ht="30" customHeight="1">
      <c r="A2" s="13" t="s">
        <v>55</v>
      </c>
      <c r="C2" s="245"/>
      <c r="D2" s="245"/>
      <c r="E2" s="13" t="s">
        <v>139</v>
      </c>
      <c r="F2" s="233"/>
      <c r="G2" s="8"/>
      <c r="I2" s="55" t="s">
        <v>105</v>
      </c>
      <c r="J2" s="14"/>
      <c r="K2" s="14"/>
      <c r="L2" s="14"/>
    </row>
    <row r="3" spans="1:12" ht="30" customHeight="1">
      <c r="A3" s="230" t="s">
        <v>57</v>
      </c>
      <c r="B3" s="8" t="s">
        <v>320</v>
      </c>
      <c r="E3" s="230" t="s">
        <v>61</v>
      </c>
      <c r="F3" s="235">
        <v>4000</v>
      </c>
      <c r="G3" s="8"/>
      <c r="I3" s="14" t="s">
        <v>108</v>
      </c>
      <c r="J3" s="246" t="str" cm="1">
        <f t="array" ref="J3">_xlfn.LET(
  _xlpm.months, MATCH(TRUE, _xlfn._xlws.FILTER('損益計算｜詳細'!C68:EB68, ISNUMBER('損益計算｜詳細'!C68:EB68))&gt;=0, 0),
  _xlpm.years, INT(_xlpm.months / 12),
  _xlpm.rest, MOD(_xlpm.months, 12),
  _xlpm.years &amp; "年" &amp; _xlpm.rest &amp; "ヶ月"
)</f>
        <v>2年5ヶ月</v>
      </c>
      <c r="K3" s="16"/>
      <c r="L3" s="14"/>
    </row>
    <row r="4" spans="1:12" ht="30" customHeight="1">
      <c r="A4" s="230" t="s">
        <v>58</v>
      </c>
      <c r="E4" s="230" t="s">
        <v>62</v>
      </c>
      <c r="F4" s="235">
        <v>3000</v>
      </c>
      <c r="G4" s="8" t="s">
        <v>301</v>
      </c>
      <c r="I4" s="14" t="s">
        <v>291</v>
      </c>
      <c r="J4" s="249">
        <v>0.8</v>
      </c>
      <c r="K4" s="244" t="s">
        <v>278</v>
      </c>
      <c r="L4" s="14"/>
    </row>
    <row r="5" spans="1:12" ht="30" customHeight="1">
      <c r="A5" s="230" t="s">
        <v>59</v>
      </c>
      <c r="B5" s="207">
        <f>B6*B7</f>
        <v>480000</v>
      </c>
      <c r="E5" s="230" t="s">
        <v>140</v>
      </c>
      <c r="F5" s="235">
        <v>3500</v>
      </c>
      <c r="G5" s="8"/>
    </row>
    <row r="6" spans="1:12" ht="30" customHeight="1">
      <c r="A6" s="234" t="s">
        <v>72</v>
      </c>
      <c r="B6" s="247" t="s">
        <v>316</v>
      </c>
      <c r="E6" s="230" t="s">
        <v>141</v>
      </c>
      <c r="F6" s="235">
        <v>2500</v>
      </c>
      <c r="G6" s="8" t="s">
        <v>301</v>
      </c>
      <c r="I6" s="13" t="s">
        <v>56</v>
      </c>
      <c r="J6" s="8"/>
      <c r="K6" s="8"/>
      <c r="L6" s="8"/>
    </row>
    <row r="7" spans="1:12" ht="30" customHeight="1">
      <c r="A7" s="234" t="s">
        <v>73</v>
      </c>
      <c r="B7" s="248">
        <v>6000</v>
      </c>
      <c r="E7" s="230"/>
      <c r="F7" s="8"/>
      <c r="G7" s="8"/>
      <c r="I7" s="230" t="s">
        <v>63</v>
      </c>
      <c r="J7" s="249">
        <v>3.6999999999999998E-2</v>
      </c>
    </row>
    <row r="8" spans="1:12" ht="30" customHeight="1">
      <c r="A8" s="230" t="s">
        <v>60</v>
      </c>
      <c r="B8" s="207">
        <v>260000</v>
      </c>
      <c r="C8" s="8" t="s">
        <v>107</v>
      </c>
      <c r="E8" s="13" t="s">
        <v>279</v>
      </c>
      <c r="F8" s="8"/>
      <c r="G8" s="8"/>
      <c r="I8" s="230" t="s">
        <v>64</v>
      </c>
      <c r="J8" s="231">
        <v>4.7E-2</v>
      </c>
      <c r="K8" s="1" t="s">
        <v>287</v>
      </c>
    </row>
    <row r="9" spans="1:12" ht="30" customHeight="1">
      <c r="A9" s="230" t="s">
        <v>293</v>
      </c>
      <c r="B9" s="232">
        <v>0.05</v>
      </c>
      <c r="E9" s="230" t="s">
        <v>61</v>
      </c>
      <c r="F9" s="233">
        <v>0.9</v>
      </c>
      <c r="G9" s="8"/>
      <c r="I9" s="234" t="s">
        <v>65</v>
      </c>
      <c r="J9" s="231">
        <v>1.0999999999999999E-2</v>
      </c>
      <c r="K9" s="1" t="s">
        <v>286</v>
      </c>
    </row>
    <row r="10" spans="1:12" ht="30" customHeight="1">
      <c r="A10" s="230" t="s">
        <v>114</v>
      </c>
      <c r="B10" s="207">
        <v>1200</v>
      </c>
      <c r="C10" s="8" t="s">
        <v>163</v>
      </c>
      <c r="E10" s="230" t="s">
        <v>62</v>
      </c>
      <c r="F10" s="233">
        <v>0.1</v>
      </c>
      <c r="G10" s="8"/>
      <c r="I10" s="234" t="s">
        <v>66</v>
      </c>
      <c r="J10" s="231">
        <v>0.44</v>
      </c>
    </row>
    <row r="11" spans="1:12" ht="30" customHeight="1">
      <c r="A11" s="230" t="s">
        <v>115</v>
      </c>
      <c r="B11" s="207">
        <v>1200</v>
      </c>
      <c r="C11" s="8" t="s">
        <v>164</v>
      </c>
      <c r="E11" s="234"/>
      <c r="F11" s="8"/>
      <c r="G11" s="8"/>
      <c r="I11" s="1" t="s">
        <v>280</v>
      </c>
      <c r="J11" s="15"/>
    </row>
    <row r="12" spans="1:12" ht="30" customHeight="1">
      <c r="A12" s="230" t="s">
        <v>67</v>
      </c>
      <c r="B12" s="231">
        <v>0.1613</v>
      </c>
      <c r="E12" s="13" t="s">
        <v>68</v>
      </c>
      <c r="F12" s="8"/>
      <c r="G12" s="8"/>
      <c r="I12" s="13" t="s">
        <v>284</v>
      </c>
      <c r="J12" s="15"/>
    </row>
    <row r="13" spans="1:12" ht="30" customHeight="1">
      <c r="A13" s="230" t="s">
        <v>79</v>
      </c>
      <c r="B13" s="235">
        <v>5000</v>
      </c>
      <c r="E13" s="230" t="s">
        <v>69</v>
      </c>
      <c r="F13" s="207">
        <v>3000</v>
      </c>
      <c r="G13" s="8" t="s">
        <v>302</v>
      </c>
      <c r="I13" s="1" t="s">
        <v>282</v>
      </c>
      <c r="J13" s="15">
        <v>0.7</v>
      </c>
      <c r="K13" s="1" t="s">
        <v>290</v>
      </c>
    </row>
    <row r="14" spans="1:12" ht="30" customHeight="1">
      <c r="A14" s="230" t="s">
        <v>116</v>
      </c>
      <c r="B14" s="235">
        <v>5000</v>
      </c>
      <c r="E14" s="230" t="s">
        <v>71</v>
      </c>
      <c r="F14" s="207">
        <f>SUM(F15:F17)*0.6</f>
        <v>600</v>
      </c>
      <c r="G14" s="8"/>
      <c r="I14" s="1" t="s">
        <v>281</v>
      </c>
      <c r="J14" s="236">
        <v>4000</v>
      </c>
      <c r="K14" s="237"/>
    </row>
    <row r="15" spans="1:12" ht="30" customHeight="1">
      <c r="A15" s="230" t="s">
        <v>117</v>
      </c>
      <c r="B15" s="235">
        <v>5000</v>
      </c>
      <c r="E15" s="230" t="s">
        <v>74</v>
      </c>
      <c r="F15" s="207">
        <v>1000</v>
      </c>
      <c r="G15" s="8" t="s">
        <v>106</v>
      </c>
      <c r="I15" s="1" t="s">
        <v>285</v>
      </c>
      <c r="J15" s="238">
        <f>1-J13*((F3-J14)/J14)</f>
        <v>1</v>
      </c>
    </row>
    <row r="16" spans="1:12" ht="30" customHeight="1">
      <c r="A16" s="230" t="s">
        <v>267</v>
      </c>
      <c r="B16" s="235"/>
      <c r="E16" s="230" t="s">
        <v>75</v>
      </c>
      <c r="F16" s="207"/>
      <c r="G16" s="8"/>
      <c r="I16" s="346" t="s">
        <v>289</v>
      </c>
      <c r="J16" s="347"/>
      <c r="K16" s="239"/>
      <c r="L16" s="240"/>
    </row>
    <row r="17" spans="1:20" ht="30" customHeight="1">
      <c r="B17" s="235"/>
      <c r="E17" s="230" t="s">
        <v>76</v>
      </c>
      <c r="F17" s="207"/>
      <c r="G17" s="8"/>
      <c r="I17" s="348"/>
      <c r="J17" s="349"/>
      <c r="K17" s="239"/>
      <c r="L17" s="240"/>
    </row>
    <row r="18" spans="1:20" s="15" customFormat="1" ht="30" customHeight="1">
      <c r="A18" s="13" t="s">
        <v>77</v>
      </c>
      <c r="B18" s="8"/>
      <c r="C18" s="8"/>
      <c r="E18" s="230" t="s">
        <v>70</v>
      </c>
      <c r="F18" s="207">
        <v>4000</v>
      </c>
      <c r="G18" s="8"/>
      <c r="I18" s="348"/>
      <c r="J18" s="349"/>
      <c r="K18" s="239"/>
      <c r="L18" s="240"/>
    </row>
    <row r="19" spans="1:20" s="15" customFormat="1" ht="30" customHeight="1">
      <c r="A19" s="230" t="s">
        <v>78</v>
      </c>
      <c r="B19" s="231">
        <v>0.04</v>
      </c>
      <c r="E19" s="230"/>
      <c r="F19" s="207"/>
      <c r="G19" s="8"/>
      <c r="I19" s="348"/>
      <c r="J19" s="349"/>
      <c r="K19" s="239"/>
      <c r="L19" s="240"/>
    </row>
    <row r="20" spans="1:20" s="15" customFormat="1" ht="30" customHeight="1">
      <c r="A20" s="8"/>
      <c r="B20" s="8"/>
      <c r="E20" s="13" t="s">
        <v>299</v>
      </c>
      <c r="G20" s="8"/>
      <c r="I20" s="348"/>
      <c r="J20" s="349"/>
      <c r="K20" s="239"/>
      <c r="L20" s="240"/>
      <c r="T20" s="14"/>
    </row>
    <row r="21" spans="1:20" ht="30" customHeight="1">
      <c r="A21" s="13" t="s">
        <v>100</v>
      </c>
      <c r="B21" s="207"/>
      <c r="C21" s="15"/>
      <c r="E21" s="1" t="s">
        <v>295</v>
      </c>
      <c r="F21" s="241">
        <f>MAX(
 '損益計算｜詳細'!E4:N4,
 '損益計算｜詳細'!Q4:AA4,
 '損益計算｜詳細'!AC4:AN4,
 '損益計算｜詳細'!AQ4:BA4,
 '損益計算｜詳細'!BC4:BN4
)</f>
        <v>1306.1006047789072</v>
      </c>
      <c r="G21" s="8"/>
      <c r="I21" s="350"/>
      <c r="J21" s="351"/>
      <c r="K21" s="239"/>
      <c r="L21" s="240"/>
    </row>
    <row r="22" spans="1:20" ht="30" customHeight="1">
      <c r="A22" s="230" t="s">
        <v>113</v>
      </c>
      <c r="B22" s="235">
        <v>3000000</v>
      </c>
      <c r="E22" s="1" t="s">
        <v>294</v>
      </c>
      <c r="G22" s="8"/>
    </row>
    <row r="23" spans="1:20" ht="30" customHeight="1">
      <c r="A23" s="230" t="s">
        <v>101</v>
      </c>
      <c r="B23" s="231">
        <v>0.08</v>
      </c>
      <c r="E23" s="1" t="s">
        <v>297</v>
      </c>
      <c r="F23" s="242">
        <v>3.0499999999999999E-2</v>
      </c>
      <c r="G23" s="8" t="s">
        <v>300</v>
      </c>
    </row>
    <row r="24" spans="1:20" ht="30" customHeight="1">
      <c r="E24" s="1" t="s">
        <v>298</v>
      </c>
      <c r="F24" s="10">
        <v>0.71199999999999997</v>
      </c>
      <c r="G24" s="8" t="s">
        <v>300</v>
      </c>
    </row>
    <row r="25" spans="1:20" ht="30" customHeight="1">
      <c r="E25" s="1" t="s">
        <v>296</v>
      </c>
      <c r="F25" s="243">
        <f>F22/F23*F24</f>
        <v>0</v>
      </c>
      <c r="G25" s="8"/>
    </row>
    <row r="26" spans="1:20" ht="30" customHeight="1">
      <c r="E26" s="15" t="s">
        <v>283</v>
      </c>
    </row>
    <row r="42" spans="1:1" ht="30" customHeight="1">
      <c r="A42" s="234"/>
    </row>
    <row r="43" spans="1:1" ht="30" customHeight="1">
      <c r="A43" s="234"/>
    </row>
    <row r="44" spans="1:1" ht="30" customHeight="1">
      <c r="A44" s="234"/>
    </row>
    <row r="54" spans="1:1" ht="30" customHeight="1">
      <c r="A54" s="234"/>
    </row>
    <row r="55" spans="1:1" ht="30" customHeight="1">
      <c r="A55" s="234"/>
    </row>
    <row r="56" spans="1:1" ht="30" customHeight="1">
      <c r="A56" s="234"/>
    </row>
    <row r="57" spans="1:1" ht="30" customHeight="1">
      <c r="A57" s="234"/>
    </row>
    <row r="58" spans="1:1" ht="30" customHeight="1">
      <c r="A58" s="234"/>
    </row>
    <row r="59" spans="1:1" ht="30" customHeight="1">
      <c r="A59" s="234"/>
    </row>
    <row r="60" spans="1:1" ht="30" customHeight="1">
      <c r="A60" s="234"/>
    </row>
    <row r="61" spans="1:1" ht="30" customHeight="1">
      <c r="A61" s="234"/>
    </row>
    <row r="62" spans="1:1" ht="30" customHeight="1">
      <c r="A62" s="234"/>
    </row>
    <row r="63" spans="1:1" ht="30" customHeight="1">
      <c r="A63" s="234"/>
    </row>
  </sheetData>
  <sheetProtection sheet="1" objects="1" scenarios="1"/>
  <mergeCells count="1">
    <mergeCell ref="I16:J21"/>
  </mergeCells>
  <phoneticPr fontId="5"/>
  <conditionalFormatting sqref="J7">
    <cfRule type="cellIs" dxfId="3" priority="1" operator="greaterThan">
      <formula>0.06</formula>
    </cfRule>
  </conditionalFormatting>
  <conditionalFormatting sqref="J4:K4">
    <cfRule type="cellIs" dxfId="2" priority="2" operator="lessThan">
      <formula>0.99</formula>
    </cfRule>
  </conditionalFormatting>
  <pageMargins left="0.7" right="0.7" top="0.75" bottom="0.75" header="0.3" footer="0.3"/>
  <pageSetup paperSize="9" scale="24" orientation="portrait" r:id="rId1"/>
  <colBreaks count="1" manualBreakCount="1">
    <brk id="12" max="2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E60AE-4012-43E7-A681-965CD788A191}">
  <sheetPr>
    <tabColor rgb="FFFFFF00"/>
    <pageSetUpPr fitToPage="1"/>
  </sheetPr>
  <dimension ref="A1:EN52"/>
  <sheetViews>
    <sheetView showGridLines="0" view="pageBreakPreview" zoomScale="60" zoomScaleNormal="50" workbookViewId="0">
      <selection activeCell="M17" sqref="M17"/>
    </sheetView>
  </sheetViews>
  <sheetFormatPr defaultColWidth="8.6640625" defaultRowHeight="24" customHeight="1"/>
  <cols>
    <col min="1" max="1" width="12.6640625" style="8" customWidth="1"/>
    <col min="2" max="2" width="5" style="251" customWidth="1"/>
    <col min="3" max="3" width="30.75" style="8" bestFit="1" customWidth="1"/>
    <col min="4" max="4" width="17.75" style="245" bestFit="1" customWidth="1"/>
    <col min="5" max="5" width="12.58203125" style="245" customWidth="1"/>
    <col min="6" max="6" width="39.9140625" style="245" hidden="1" customWidth="1"/>
    <col min="7" max="7" width="79.58203125" style="8" hidden="1" customWidth="1"/>
    <col min="8" max="9" width="5" style="1" customWidth="1"/>
    <col min="10" max="14" width="14.58203125" style="1" customWidth="1"/>
    <col min="15" max="15" width="5" style="1" customWidth="1"/>
    <col min="16" max="21" width="14.58203125" style="1" customWidth="1"/>
    <col min="22" max="39" width="8.6640625" style="1"/>
    <col min="40" max="43" width="12.6640625" style="8" customWidth="1"/>
    <col min="44" max="44" width="9.75" style="8" customWidth="1"/>
    <col min="45" max="45" width="8.6640625" style="8"/>
    <col min="46" max="46" width="9.75" style="8" customWidth="1"/>
    <col min="47" max="143" width="8.6640625" style="8"/>
    <col min="144" max="16384" width="8.6640625" style="1"/>
  </cols>
  <sheetData>
    <row r="1" spans="1:144" ht="24" customHeight="1" thickTop="1">
      <c r="H1" s="8"/>
      <c r="R1" s="252"/>
      <c r="AN1" s="1"/>
      <c r="AR1" s="1"/>
      <c r="EN1" s="8"/>
    </row>
    <row r="2" spans="1:144" ht="24" customHeight="1">
      <c r="A2" s="253" t="s">
        <v>54</v>
      </c>
      <c r="B2" s="254"/>
      <c r="C2" s="245"/>
      <c r="G2" s="255"/>
      <c r="H2" s="255"/>
      <c r="J2" s="253" t="s">
        <v>165</v>
      </c>
      <c r="W2" s="8"/>
      <c r="AN2" s="1"/>
      <c r="AO2" s="1"/>
      <c r="EN2" s="8"/>
    </row>
    <row r="3" spans="1:144" ht="24" customHeight="1">
      <c r="A3" s="256"/>
      <c r="B3" s="257"/>
      <c r="C3" s="258" t="s">
        <v>86</v>
      </c>
      <c r="D3" s="259" t="s">
        <v>43</v>
      </c>
      <c r="E3" s="260" t="s">
        <v>110</v>
      </c>
      <c r="F3" s="260" t="s">
        <v>269</v>
      </c>
      <c r="G3" s="258" t="s">
        <v>87</v>
      </c>
      <c r="H3" s="261"/>
      <c r="J3" s="1" t="s">
        <v>166</v>
      </c>
      <c r="K3" s="241">
        <f>D42</f>
        <v>67118300</v>
      </c>
      <c r="W3" s="8"/>
      <c r="AN3" s="1"/>
      <c r="EN3" s="8"/>
    </row>
    <row r="4" spans="1:144" ht="24" customHeight="1">
      <c r="A4" s="352" t="s">
        <v>109</v>
      </c>
      <c r="B4" s="363" t="s">
        <v>81</v>
      </c>
      <c r="C4" s="262" t="s">
        <v>11</v>
      </c>
      <c r="D4" s="263">
        <f>各種シミュレーション!B22</f>
        <v>3000000</v>
      </c>
      <c r="E4" s="264">
        <f t="shared" ref="E4:E17" si="0">D4/$D$42</f>
        <v>4.4697198826549538E-2</v>
      </c>
      <c r="F4" s="264" t="s">
        <v>270</v>
      </c>
      <c r="G4" s="265"/>
      <c r="H4" s="256"/>
      <c r="J4" s="1" t="s">
        <v>319</v>
      </c>
      <c r="K4" s="250">
        <v>0.3</v>
      </c>
      <c r="W4" s="8"/>
      <c r="AA4" s="8"/>
      <c r="AN4" s="1"/>
      <c r="AT4" s="266"/>
      <c r="EN4" s="8"/>
    </row>
    <row r="5" spans="1:144" ht="24" customHeight="1">
      <c r="A5" s="353"/>
      <c r="B5" s="364"/>
      <c r="C5" s="267" t="s">
        <v>80</v>
      </c>
      <c r="D5" s="268">
        <f>SUM(D4)</f>
        <v>3000000</v>
      </c>
      <c r="E5" s="269">
        <f t="shared" si="0"/>
        <v>4.4697198826549538E-2</v>
      </c>
      <c r="F5" s="269"/>
      <c r="G5" s="265"/>
      <c r="H5" s="256"/>
      <c r="J5" s="1" t="s">
        <v>167</v>
      </c>
      <c r="K5" s="235">
        <f>D42*K4</f>
        <v>20135490</v>
      </c>
      <c r="W5" s="8"/>
      <c r="AA5" s="8"/>
      <c r="AN5" s="1"/>
      <c r="AT5" s="270"/>
      <c r="EN5" s="8"/>
    </row>
    <row r="6" spans="1:144" ht="24" customHeight="1">
      <c r="A6" s="353"/>
      <c r="B6" s="363" t="s">
        <v>90</v>
      </c>
      <c r="C6" s="271" t="s">
        <v>104</v>
      </c>
      <c r="D6" s="272">
        <f>(各種シミュレーション!B6*各種シミュレーション!B7*6)</f>
        <v>2880000</v>
      </c>
      <c r="E6" s="264">
        <f t="shared" si="0"/>
        <v>4.2909310873487559E-2</v>
      </c>
      <c r="F6" s="264"/>
      <c r="G6" s="273" t="s">
        <v>111</v>
      </c>
      <c r="H6" s="274"/>
      <c r="J6" s="1" t="s">
        <v>168</v>
      </c>
      <c r="K6" s="241">
        <f>SUM(K5,K9,N9)-K3</f>
        <v>0</v>
      </c>
      <c r="L6" s="8"/>
      <c r="M6" s="8"/>
      <c r="O6" s="8"/>
      <c r="W6" s="8"/>
      <c r="AA6" s="245"/>
      <c r="AN6" s="1"/>
      <c r="AT6" s="270"/>
      <c r="EN6" s="8"/>
    </row>
    <row r="7" spans="1:144" ht="24" customHeight="1">
      <c r="A7" s="353"/>
      <c r="B7" s="363"/>
      <c r="C7" s="271" t="s">
        <v>35</v>
      </c>
      <c r="D7" s="275">
        <v>0</v>
      </c>
      <c r="E7" s="264">
        <f t="shared" si="0"/>
        <v>0</v>
      </c>
      <c r="F7" s="264"/>
      <c r="G7" s="273"/>
      <c r="H7" s="274"/>
      <c r="J7" s="8"/>
      <c r="K7" s="251"/>
      <c r="L7" s="8"/>
      <c r="M7" s="8"/>
      <c r="O7" s="8"/>
      <c r="W7" s="8"/>
      <c r="AA7" s="270"/>
      <c r="AN7" s="1"/>
      <c r="AT7" s="270"/>
      <c r="EN7" s="8"/>
    </row>
    <row r="8" spans="1:144" ht="24" customHeight="1">
      <c r="A8" s="353"/>
      <c r="B8" s="363"/>
      <c r="C8" s="271" t="s">
        <v>33</v>
      </c>
      <c r="D8" s="272">
        <f>(各種シミュレーション!$B$6*各種シミュレーション!$B$7)</f>
        <v>480000</v>
      </c>
      <c r="E8" s="264">
        <f t="shared" si="0"/>
        <v>7.1515518122479268E-3</v>
      </c>
      <c r="F8" s="264"/>
      <c r="G8" s="273" t="s">
        <v>34</v>
      </c>
      <c r="H8" s="274"/>
      <c r="J8" s="276" t="s">
        <v>224</v>
      </c>
      <c r="K8" s="277"/>
      <c r="L8" s="8"/>
      <c r="M8" s="276" t="s">
        <v>225</v>
      </c>
      <c r="N8" s="277"/>
      <c r="O8" s="8"/>
      <c r="P8" s="1" t="s">
        <v>271</v>
      </c>
      <c r="W8" s="8"/>
      <c r="AA8" s="270"/>
      <c r="AN8" s="1"/>
      <c r="AT8" s="270"/>
      <c r="EN8" s="8"/>
    </row>
    <row r="9" spans="1:144" ht="24" customHeight="1">
      <c r="A9" s="353"/>
      <c r="B9" s="363"/>
      <c r="C9" s="278" t="s">
        <v>82</v>
      </c>
      <c r="D9" s="272">
        <f>(各種シミュレーション!$B$6*各種シミュレーション!$B$7)</f>
        <v>480000</v>
      </c>
      <c r="E9" s="264">
        <f t="shared" si="0"/>
        <v>7.1515518122479268E-3</v>
      </c>
      <c r="F9" s="264"/>
      <c r="G9" s="273" t="s">
        <v>34</v>
      </c>
      <c r="H9" s="274"/>
      <c r="J9" s="8" t="s">
        <v>142</v>
      </c>
      <c r="K9" s="235">
        <f>K3-K5-N9</f>
        <v>15782810</v>
      </c>
      <c r="M9" s="1" t="s">
        <v>231</v>
      </c>
      <c r="N9" s="235">
        <f>SUM(D25:D27)</f>
        <v>31200000</v>
      </c>
      <c r="O9" s="8"/>
      <c r="P9" s="1" t="s">
        <v>272</v>
      </c>
      <c r="W9" s="8"/>
      <c r="AA9" s="270"/>
      <c r="AN9" s="1"/>
      <c r="AT9" s="270"/>
      <c r="BG9" s="9"/>
      <c r="BH9" s="9"/>
      <c r="EN9" s="8"/>
    </row>
    <row r="10" spans="1:144" s="10" customFormat="1" ht="24" customHeight="1">
      <c r="A10" s="353"/>
      <c r="B10" s="364"/>
      <c r="C10" s="279" t="s">
        <v>80</v>
      </c>
      <c r="D10" s="280">
        <f>SUM(D6:D9)</f>
        <v>3840000</v>
      </c>
      <c r="E10" s="269">
        <f t="shared" si="0"/>
        <v>5.7212414497983415E-2</v>
      </c>
      <c r="F10" s="269"/>
      <c r="G10" s="273"/>
      <c r="H10" s="274"/>
      <c r="I10" s="1"/>
      <c r="J10" s="8" t="s">
        <v>143</v>
      </c>
      <c r="K10" s="231">
        <v>0.02</v>
      </c>
      <c r="L10" s="1"/>
      <c r="M10" s="1" t="s">
        <v>230</v>
      </c>
      <c r="N10" s="231">
        <v>0.02</v>
      </c>
      <c r="O10" s="8"/>
      <c r="P10" s="1" t="s">
        <v>273</v>
      </c>
      <c r="Q10" s="1"/>
      <c r="W10" s="8"/>
      <c r="Z10" s="9"/>
      <c r="AA10" s="270"/>
      <c r="AT10" s="270"/>
      <c r="AX10" s="8"/>
      <c r="AY10" s="8"/>
      <c r="BG10" s="8"/>
      <c r="BH10" s="8"/>
    </row>
    <row r="11" spans="1:144" s="10" customFormat="1" ht="24" customHeight="1">
      <c r="A11" s="353"/>
      <c r="B11" s="355" t="s">
        <v>91</v>
      </c>
      <c r="C11" s="281" t="s">
        <v>83</v>
      </c>
      <c r="D11" s="272">
        <f>各種シミュレーション!B6*95000</f>
        <v>7600000</v>
      </c>
      <c r="E11" s="264">
        <f t="shared" si="0"/>
        <v>0.1132329036939255</v>
      </c>
      <c r="F11" s="264"/>
      <c r="G11" s="282" t="s">
        <v>321</v>
      </c>
      <c r="H11" s="283"/>
      <c r="I11" s="1"/>
      <c r="J11" s="8" t="s">
        <v>144</v>
      </c>
      <c r="K11" s="235">
        <v>72</v>
      </c>
      <c r="L11" s="1"/>
      <c r="M11" s="1" t="s">
        <v>162</v>
      </c>
      <c r="N11" s="235">
        <v>60</v>
      </c>
      <c r="O11" s="8"/>
      <c r="P11" s="1"/>
      <c r="Q11" s="1"/>
      <c r="W11" s="8"/>
      <c r="Z11" s="9"/>
      <c r="AA11" s="270"/>
      <c r="AT11" s="270"/>
      <c r="AX11" s="8"/>
      <c r="AY11" s="8"/>
      <c r="BG11" s="8"/>
      <c r="BH11" s="8"/>
    </row>
    <row r="12" spans="1:144" s="10" customFormat="1" ht="24" customHeight="1">
      <c r="A12" s="353"/>
      <c r="B12" s="356"/>
      <c r="C12" s="271" t="s">
        <v>84</v>
      </c>
      <c r="D12" s="272">
        <f>各種シミュレーション!B6*85000</f>
        <v>6800000</v>
      </c>
      <c r="E12" s="264">
        <f t="shared" si="0"/>
        <v>0.10131365067351229</v>
      </c>
      <c r="F12" s="264"/>
      <c r="G12" s="282" t="s">
        <v>321</v>
      </c>
      <c r="H12" s="283"/>
      <c r="I12" s="1"/>
      <c r="J12" s="1"/>
      <c r="K12" s="1"/>
      <c r="L12" s="1"/>
      <c r="M12" s="1"/>
      <c r="N12" s="1"/>
      <c r="O12" s="8"/>
      <c r="P12" s="1"/>
      <c r="Q12" s="1"/>
      <c r="W12" s="8"/>
      <c r="X12" s="1"/>
      <c r="Y12" s="1"/>
      <c r="Z12" s="1"/>
      <c r="AA12" s="1"/>
      <c r="AT12" s="270"/>
      <c r="AX12" s="8"/>
      <c r="AY12" s="8"/>
      <c r="BG12" s="8"/>
      <c r="BH12" s="8"/>
    </row>
    <row r="13" spans="1:144" ht="24" customHeight="1">
      <c r="A13" s="353"/>
      <c r="B13" s="356"/>
      <c r="C13" s="271" t="s">
        <v>85</v>
      </c>
      <c r="D13" s="272">
        <v>1500000</v>
      </c>
      <c r="E13" s="264">
        <f t="shared" si="0"/>
        <v>2.2348599413274769E-2</v>
      </c>
      <c r="F13" s="264"/>
      <c r="G13" s="284"/>
      <c r="I13" s="8"/>
      <c r="O13" s="8"/>
      <c r="V13" s="8"/>
      <c r="AS13" s="270"/>
    </row>
    <row r="14" spans="1:144" ht="24" customHeight="1">
      <c r="A14" s="353"/>
      <c r="B14" s="356"/>
      <c r="C14" s="285" t="s">
        <v>323</v>
      </c>
      <c r="D14" s="275">
        <f>各種シミュレーション!B6*20000</f>
        <v>1600000</v>
      </c>
      <c r="E14" s="264">
        <f t="shared" si="0"/>
        <v>2.3838506040826421E-2</v>
      </c>
      <c r="F14" s="264"/>
      <c r="G14" s="284"/>
      <c r="I14" s="8"/>
      <c r="J14" s="8"/>
      <c r="K14" s="8"/>
      <c r="L14" s="8"/>
      <c r="M14" s="8"/>
      <c r="O14" s="8"/>
      <c r="P14" s="10"/>
      <c r="Q14" s="10"/>
      <c r="V14" s="8"/>
      <c r="AS14" s="270"/>
    </row>
    <row r="15" spans="1:144" ht="24" customHeight="1">
      <c r="A15" s="353"/>
      <c r="B15" s="356"/>
      <c r="C15" s="271" t="s">
        <v>303</v>
      </c>
      <c r="D15" s="275">
        <f>SUM(D11:D13)*0.1</f>
        <v>1590000</v>
      </c>
      <c r="E15" s="264">
        <f t="shared" si="0"/>
        <v>2.3689515378071256E-2</v>
      </c>
      <c r="F15" s="264"/>
      <c r="G15" s="273"/>
      <c r="I15" s="8"/>
      <c r="J15" s="253" t="s">
        <v>158</v>
      </c>
      <c r="K15" s="8"/>
      <c r="O15" s="8"/>
      <c r="P15" s="10"/>
      <c r="Q15" s="10"/>
      <c r="V15" s="8"/>
      <c r="AS15" s="270"/>
    </row>
    <row r="16" spans="1:144" s="8" customFormat="1" ht="24" customHeight="1">
      <c r="A16" s="353"/>
      <c r="B16" s="356"/>
      <c r="C16" s="271" t="s">
        <v>177</v>
      </c>
      <c r="D16" s="272">
        <f>各種シミュレーション!B6*29000</f>
        <v>2320000</v>
      </c>
      <c r="E16" s="264">
        <f t="shared" si="0"/>
        <v>3.4565833759198313E-2</v>
      </c>
      <c r="F16" s="264"/>
      <c r="G16" s="273" t="s">
        <v>304</v>
      </c>
      <c r="H16" s="1"/>
      <c r="J16" s="256" t="s">
        <v>159</v>
      </c>
      <c r="K16" s="231">
        <v>0</v>
      </c>
      <c r="L16" s="9" t="s">
        <v>160</v>
      </c>
      <c r="M16" s="9"/>
      <c r="N16" s="1"/>
      <c r="P16" s="1"/>
      <c r="Q16" s="1"/>
      <c r="W16" s="1"/>
      <c r="X16" s="1"/>
      <c r="Y16" s="1"/>
      <c r="Z16" s="1"/>
      <c r="AS16" s="270"/>
    </row>
    <row r="17" spans="1:51" s="8" customFormat="1" ht="24" customHeight="1">
      <c r="A17" s="353"/>
      <c r="B17" s="356"/>
      <c r="C17" s="271" t="s">
        <v>268</v>
      </c>
      <c r="D17" s="272"/>
      <c r="E17" s="264">
        <f t="shared" si="0"/>
        <v>0</v>
      </c>
      <c r="F17" s="264"/>
      <c r="G17" s="273"/>
      <c r="H17" s="1"/>
      <c r="J17" s="256" t="s">
        <v>159</v>
      </c>
      <c r="K17" s="231">
        <v>0.3</v>
      </c>
      <c r="L17" s="9" t="s">
        <v>161</v>
      </c>
      <c r="M17" s="9"/>
      <c r="N17" s="1"/>
      <c r="P17" s="1"/>
      <c r="Q17" s="1"/>
      <c r="W17" s="1"/>
      <c r="X17" s="1"/>
      <c r="Y17" s="1"/>
      <c r="Z17" s="1"/>
      <c r="AS17" s="270"/>
    </row>
    <row r="18" spans="1:51" s="8" customFormat="1" ht="24" customHeight="1">
      <c r="A18" s="353"/>
      <c r="B18" s="356"/>
      <c r="C18" s="271" t="s">
        <v>77</v>
      </c>
      <c r="D18" s="272"/>
      <c r="E18" s="264"/>
      <c r="F18" s="264"/>
      <c r="G18" s="273"/>
      <c r="H18" s="1"/>
      <c r="J18" s="1"/>
      <c r="K18" s="1"/>
      <c r="L18" s="1"/>
      <c r="M18" s="1"/>
      <c r="N18" s="1"/>
      <c r="P18" s="1"/>
      <c r="Q18" s="1"/>
      <c r="W18" s="1"/>
      <c r="X18" s="1"/>
      <c r="Y18" s="1"/>
      <c r="Z18" s="1"/>
      <c r="AS18" s="270"/>
    </row>
    <row r="19" spans="1:51" s="8" customFormat="1" ht="24" customHeight="1">
      <c r="A19" s="353"/>
      <c r="B19" s="357"/>
      <c r="C19" s="279" t="s">
        <v>80</v>
      </c>
      <c r="D19" s="280">
        <f>SUM(D11:D18)</f>
        <v>21410000</v>
      </c>
      <c r="E19" s="269">
        <f>D19/$D$42</f>
        <v>0.31898900895880855</v>
      </c>
      <c r="F19" s="269"/>
      <c r="G19" s="273"/>
      <c r="H19" s="1"/>
      <c r="J19" s="1"/>
      <c r="K19" s="1"/>
      <c r="L19" s="1"/>
      <c r="M19" s="1"/>
      <c r="N19" s="1"/>
      <c r="P19" s="1"/>
      <c r="Q19" s="1"/>
      <c r="R19" s="1"/>
      <c r="S19" s="1"/>
      <c r="W19" s="1"/>
      <c r="X19" s="1"/>
      <c r="Y19" s="1"/>
      <c r="Z19" s="1"/>
      <c r="AS19" s="270"/>
    </row>
    <row r="20" spans="1:51" ht="24" customHeight="1">
      <c r="A20" s="353"/>
      <c r="B20" s="355" t="s">
        <v>88</v>
      </c>
      <c r="C20" s="271" t="s">
        <v>307</v>
      </c>
      <c r="D20" s="286">
        <v>700000</v>
      </c>
      <c r="E20" s="264">
        <f>D20/$D$42</f>
        <v>1.042934639286156E-2</v>
      </c>
      <c r="F20" s="264"/>
      <c r="G20" s="273" t="s">
        <v>314</v>
      </c>
      <c r="I20" s="8"/>
      <c r="J20" s="253" t="s">
        <v>12</v>
      </c>
      <c r="K20" s="8"/>
      <c r="L20" s="8"/>
      <c r="M20" s="8"/>
      <c r="O20" s="8"/>
      <c r="V20" s="8"/>
      <c r="AS20" s="270"/>
    </row>
    <row r="21" spans="1:51" ht="24" customHeight="1">
      <c r="A21" s="353"/>
      <c r="B21" s="356"/>
      <c r="C21" s="271" t="s">
        <v>312</v>
      </c>
      <c r="D21" s="287">
        <v>33000</v>
      </c>
      <c r="E21" s="264">
        <f t="shared" ref="E21:E23" si="1">D21/$D$42</f>
        <v>4.916691870920449E-4</v>
      </c>
      <c r="F21" s="273"/>
      <c r="G21" s="273"/>
      <c r="I21" s="8"/>
      <c r="J21" s="8"/>
      <c r="K21" s="8"/>
      <c r="L21" s="8"/>
      <c r="M21" s="8"/>
      <c r="O21" s="8"/>
      <c r="V21" s="8"/>
      <c r="AS21" s="270"/>
    </row>
    <row r="22" spans="1:51" ht="24" customHeight="1">
      <c r="A22" s="353"/>
      <c r="B22" s="356"/>
      <c r="C22" s="271" t="s">
        <v>308</v>
      </c>
      <c r="D22" s="287">
        <v>25300</v>
      </c>
      <c r="E22" s="264">
        <f>D22/$D$42</f>
        <v>3.7694637677056778E-4</v>
      </c>
      <c r="F22" s="273"/>
      <c r="G22" s="273"/>
      <c r="I22" s="8"/>
      <c r="J22" s="1" t="s">
        <v>222</v>
      </c>
      <c r="K22" s="8"/>
      <c r="L22" s="11"/>
      <c r="M22" s="8"/>
      <c r="O22" s="8"/>
      <c r="P22" s="1" t="s">
        <v>145</v>
      </c>
      <c r="Q22" s="8"/>
      <c r="R22" s="8"/>
      <c r="S22" s="8"/>
      <c r="V22" s="8"/>
      <c r="AS22" s="270"/>
    </row>
    <row r="23" spans="1:51" ht="24" customHeight="1">
      <c r="A23" s="353"/>
      <c r="B23" s="356"/>
      <c r="C23" s="271" t="s">
        <v>32</v>
      </c>
      <c r="D23" s="272">
        <v>150000</v>
      </c>
      <c r="E23" s="264">
        <f t="shared" si="1"/>
        <v>2.234859941327477E-3</v>
      </c>
      <c r="F23" s="264"/>
      <c r="G23" s="273" t="s">
        <v>313</v>
      </c>
      <c r="I23" s="8"/>
      <c r="J23" s="1" t="s">
        <v>146</v>
      </c>
      <c r="K23" s="12">
        <v>6.7000000000000004E-2</v>
      </c>
      <c r="L23" s="8"/>
      <c r="M23" s="8"/>
      <c r="O23" s="8"/>
      <c r="P23" s="1" t="s">
        <v>146</v>
      </c>
      <c r="Q23" s="12">
        <v>6.7000000000000004E-2</v>
      </c>
      <c r="R23" s="8"/>
      <c r="V23" s="8"/>
      <c r="AS23" s="270"/>
    </row>
    <row r="24" spans="1:51" ht="24" customHeight="1">
      <c r="A24" s="353"/>
      <c r="B24" s="357"/>
      <c r="C24" s="279" t="s">
        <v>80</v>
      </c>
      <c r="D24" s="280">
        <f>SUM(D20:D23)</f>
        <v>908300</v>
      </c>
      <c r="E24" s="269">
        <f t="shared" ref="E24:E31" si="2">D24/$D$42</f>
        <v>1.3532821898051649E-2</v>
      </c>
      <c r="F24" s="288"/>
      <c r="G24" s="289"/>
      <c r="I24" s="8"/>
      <c r="J24" s="290" t="s">
        <v>13</v>
      </c>
      <c r="K24" s="290" t="s">
        <v>14</v>
      </c>
      <c r="L24" s="290" t="s">
        <v>15</v>
      </c>
      <c r="M24" s="290" t="s">
        <v>16</v>
      </c>
      <c r="O24" s="8"/>
      <c r="P24" s="290" t="s">
        <v>13</v>
      </c>
      <c r="Q24" s="290" t="s">
        <v>14</v>
      </c>
      <c r="R24" s="290" t="s">
        <v>15</v>
      </c>
      <c r="S24" s="290" t="s">
        <v>16</v>
      </c>
      <c r="V24" s="8"/>
      <c r="AS24" s="270"/>
    </row>
    <row r="25" spans="1:51" ht="24" customHeight="1">
      <c r="A25" s="353"/>
      <c r="B25" s="361" t="s">
        <v>97</v>
      </c>
      <c r="C25" s="271" t="s">
        <v>118</v>
      </c>
      <c r="D25" s="272">
        <f>各種シミュレーション!B6*350000</f>
        <v>28000000</v>
      </c>
      <c r="E25" s="264">
        <f t="shared" si="2"/>
        <v>0.41717385571446236</v>
      </c>
      <c r="F25" s="291"/>
      <c r="G25" s="292" t="s">
        <v>305</v>
      </c>
      <c r="I25" s="8"/>
      <c r="J25" s="290" t="s">
        <v>17</v>
      </c>
      <c r="K25" s="293">
        <f>SUM(投資概要!D11:D12)</f>
        <v>14400000</v>
      </c>
      <c r="L25" s="293">
        <f t="shared" ref="L25:L39" si="3">$K$25/15</f>
        <v>960000</v>
      </c>
      <c r="M25" s="293">
        <f t="shared" ref="M25:M39" si="4">K25-L25</f>
        <v>13440000</v>
      </c>
      <c r="O25" s="8"/>
      <c r="P25" s="290" t="s">
        <v>17</v>
      </c>
      <c r="Q25" s="293">
        <f>投資概要!$D$25</f>
        <v>28000000</v>
      </c>
      <c r="R25" s="293">
        <f>$Q$25/5</f>
        <v>5600000</v>
      </c>
      <c r="S25" s="293">
        <f>Q25-R25</f>
        <v>22400000</v>
      </c>
      <c r="V25" s="8"/>
      <c r="AS25" s="270"/>
    </row>
    <row r="26" spans="1:51" ht="24" customHeight="1">
      <c r="A26" s="353"/>
      <c r="B26" s="362"/>
      <c r="C26" s="294" t="s">
        <v>53</v>
      </c>
      <c r="D26" s="272">
        <f>D25*0.05</f>
        <v>1400000</v>
      </c>
      <c r="E26" s="264">
        <f t="shared" si="2"/>
        <v>2.085869278572312E-2</v>
      </c>
      <c r="F26" s="264"/>
      <c r="G26" s="295" t="s">
        <v>306</v>
      </c>
      <c r="I26" s="8"/>
      <c r="J26" s="290" t="s">
        <v>18</v>
      </c>
      <c r="K26" s="293">
        <f t="shared" ref="K26:K39" si="5">M25</f>
        <v>13440000</v>
      </c>
      <c r="L26" s="293">
        <f t="shared" si="3"/>
        <v>960000</v>
      </c>
      <c r="M26" s="293">
        <f t="shared" si="4"/>
        <v>12480000</v>
      </c>
      <c r="P26" s="290" t="s">
        <v>18</v>
      </c>
      <c r="Q26" s="293">
        <f>S25</f>
        <v>22400000</v>
      </c>
      <c r="R26" s="293">
        <f>$Q$25/5</f>
        <v>5600000</v>
      </c>
      <c r="S26" s="293">
        <f>Q26-R26</f>
        <v>16800000</v>
      </c>
      <c r="V26" s="8"/>
      <c r="AS26" s="270"/>
    </row>
    <row r="27" spans="1:51" ht="24" customHeight="1">
      <c r="A27" s="353"/>
      <c r="B27" s="362"/>
      <c r="C27" s="271" t="s">
        <v>52</v>
      </c>
      <c r="D27" s="272">
        <v>1800000</v>
      </c>
      <c r="E27" s="264">
        <f t="shared" si="2"/>
        <v>2.6818319295929725E-2</v>
      </c>
      <c r="F27" s="264"/>
      <c r="G27" s="295"/>
      <c r="I27" s="8"/>
      <c r="J27" s="290" t="s">
        <v>19</v>
      </c>
      <c r="K27" s="293">
        <f t="shared" si="5"/>
        <v>12480000</v>
      </c>
      <c r="L27" s="293">
        <f t="shared" si="3"/>
        <v>960000</v>
      </c>
      <c r="M27" s="293">
        <f t="shared" si="4"/>
        <v>11520000</v>
      </c>
      <c r="P27" s="290" t="s">
        <v>19</v>
      </c>
      <c r="Q27" s="293">
        <f>S26</f>
        <v>16800000</v>
      </c>
      <c r="R27" s="293">
        <f>$Q$25/5</f>
        <v>5600000</v>
      </c>
      <c r="S27" s="293">
        <f>Q27-R27</f>
        <v>11200000</v>
      </c>
    </row>
    <row r="28" spans="1:51" ht="24" customHeight="1">
      <c r="A28" s="353"/>
      <c r="B28" s="362"/>
      <c r="C28" s="271" t="s">
        <v>89</v>
      </c>
      <c r="D28" s="272">
        <v>500000</v>
      </c>
      <c r="E28" s="264">
        <f t="shared" si="2"/>
        <v>7.4495331377582566E-3</v>
      </c>
      <c r="F28" s="264"/>
      <c r="G28" s="273"/>
      <c r="J28" s="290" t="s">
        <v>20</v>
      </c>
      <c r="K28" s="293">
        <f t="shared" si="5"/>
        <v>11520000</v>
      </c>
      <c r="L28" s="293">
        <f t="shared" si="3"/>
        <v>960000</v>
      </c>
      <c r="M28" s="293">
        <f t="shared" si="4"/>
        <v>10560000</v>
      </c>
      <c r="P28" s="290" t="s">
        <v>20</v>
      </c>
      <c r="Q28" s="293">
        <f>S27</f>
        <v>11200000</v>
      </c>
      <c r="R28" s="293">
        <f>$Q$25/5</f>
        <v>5600000</v>
      </c>
      <c r="S28" s="293">
        <f>Q28-R28</f>
        <v>5600000</v>
      </c>
    </row>
    <row r="29" spans="1:51" ht="24" customHeight="1">
      <c r="A29" s="353"/>
      <c r="B29" s="362"/>
      <c r="C29" s="271" t="s">
        <v>93</v>
      </c>
      <c r="D29" s="272">
        <v>1000000</v>
      </c>
      <c r="E29" s="264">
        <f t="shared" si="2"/>
        <v>1.4899066275516513E-2</v>
      </c>
      <c r="F29" s="296"/>
      <c r="G29" s="297" t="s">
        <v>99</v>
      </c>
      <c r="J29" s="290" t="s">
        <v>21</v>
      </c>
      <c r="K29" s="293">
        <f t="shared" si="5"/>
        <v>10560000</v>
      </c>
      <c r="L29" s="293">
        <f t="shared" si="3"/>
        <v>960000</v>
      </c>
      <c r="M29" s="293">
        <f t="shared" si="4"/>
        <v>9600000</v>
      </c>
      <c r="P29" s="290" t="s">
        <v>21</v>
      </c>
      <c r="Q29" s="293">
        <f>S28</f>
        <v>5600000</v>
      </c>
      <c r="R29" s="293">
        <f>$Q$25/5</f>
        <v>5600000</v>
      </c>
      <c r="S29" s="293">
        <f>Q29-R29</f>
        <v>0</v>
      </c>
    </row>
    <row r="30" spans="1:51" s="8" customFormat="1" ht="24" customHeight="1">
      <c r="A30" s="353"/>
      <c r="B30" s="362"/>
      <c r="C30" s="271" t="s">
        <v>94</v>
      </c>
      <c r="D30" s="272">
        <v>200000</v>
      </c>
      <c r="E30" s="264">
        <f t="shared" si="2"/>
        <v>2.9798132551033026E-3</v>
      </c>
      <c r="F30" s="296"/>
      <c r="G30" s="297" t="s">
        <v>96</v>
      </c>
      <c r="H30" s="1"/>
      <c r="I30" s="1"/>
      <c r="J30" s="290" t="s">
        <v>22</v>
      </c>
      <c r="K30" s="293">
        <f t="shared" si="5"/>
        <v>9600000</v>
      </c>
      <c r="L30" s="293">
        <f t="shared" si="3"/>
        <v>960000</v>
      </c>
      <c r="M30" s="293">
        <f t="shared" si="4"/>
        <v>8640000</v>
      </c>
      <c r="N30" s="1"/>
      <c r="O30" s="1"/>
      <c r="P30" s="245"/>
      <c r="Q30" s="270"/>
      <c r="R30" s="270"/>
      <c r="S30" s="270"/>
      <c r="V30" s="1"/>
      <c r="W30" s="1"/>
      <c r="X30" s="1"/>
      <c r="Y30" s="1"/>
      <c r="Z30" s="1"/>
    </row>
    <row r="31" spans="1:51" s="8" customFormat="1" ht="24" customHeight="1">
      <c r="A31" s="353"/>
      <c r="B31" s="362"/>
      <c r="C31" s="271" t="s">
        <v>95</v>
      </c>
      <c r="D31" s="272">
        <v>150000</v>
      </c>
      <c r="E31" s="264">
        <f t="shared" si="2"/>
        <v>2.234859941327477E-3</v>
      </c>
      <c r="F31" s="296"/>
      <c r="G31" s="297"/>
      <c r="H31" s="1"/>
      <c r="I31" s="1"/>
      <c r="J31" s="290" t="s">
        <v>23</v>
      </c>
      <c r="K31" s="293">
        <f t="shared" si="5"/>
        <v>8640000</v>
      </c>
      <c r="L31" s="293">
        <f t="shared" si="3"/>
        <v>960000</v>
      </c>
      <c r="M31" s="293">
        <f t="shared" si="4"/>
        <v>7680000</v>
      </c>
      <c r="N31" s="1"/>
      <c r="O31" s="1"/>
      <c r="P31" s="1"/>
      <c r="V31" s="1"/>
      <c r="W31" s="1"/>
      <c r="X31" s="1"/>
      <c r="Y31" s="1"/>
      <c r="Z31" s="1"/>
      <c r="AY31" s="9"/>
    </row>
    <row r="32" spans="1:51" s="8" customFormat="1" ht="24" customHeight="1">
      <c r="A32" s="353"/>
      <c r="B32" s="362"/>
      <c r="C32" s="271" t="s">
        <v>77</v>
      </c>
      <c r="D32" s="272"/>
      <c r="E32" s="264"/>
      <c r="F32" s="296"/>
      <c r="G32" s="297"/>
      <c r="H32" s="1"/>
      <c r="I32" s="1"/>
      <c r="J32" s="290" t="s">
        <v>24</v>
      </c>
      <c r="K32" s="293">
        <f t="shared" si="5"/>
        <v>7680000</v>
      </c>
      <c r="L32" s="293">
        <f t="shared" si="3"/>
        <v>960000</v>
      </c>
      <c r="M32" s="293">
        <f t="shared" si="4"/>
        <v>6720000</v>
      </c>
      <c r="N32" s="1"/>
      <c r="O32" s="1"/>
      <c r="P32" s="1" t="s">
        <v>11</v>
      </c>
      <c r="Q32" s="1"/>
      <c r="V32" s="1"/>
      <c r="W32" s="1"/>
      <c r="X32" s="1"/>
      <c r="Y32" s="1"/>
      <c r="Z32" s="1"/>
    </row>
    <row r="33" spans="1:143" s="8" customFormat="1" ht="24" customHeight="1">
      <c r="A33" s="353"/>
      <c r="B33" s="360"/>
      <c r="C33" s="298" t="s">
        <v>80</v>
      </c>
      <c r="D33" s="280">
        <f>SUM(D25:D32)</f>
        <v>33050000</v>
      </c>
      <c r="E33" s="269">
        <f t="shared" ref="E33:E43" si="6">D33/$D$42</f>
        <v>0.49241414040582077</v>
      </c>
      <c r="F33" s="299"/>
      <c r="G33" s="300"/>
      <c r="H33" s="1"/>
      <c r="I33" s="1"/>
      <c r="J33" s="290" t="s">
        <v>25</v>
      </c>
      <c r="K33" s="293">
        <f t="shared" si="5"/>
        <v>6720000</v>
      </c>
      <c r="L33" s="293">
        <f t="shared" si="3"/>
        <v>960000</v>
      </c>
      <c r="M33" s="293">
        <f t="shared" si="4"/>
        <v>5760000</v>
      </c>
      <c r="N33" s="1"/>
      <c r="O33" s="1"/>
      <c r="P33" s="1" t="s">
        <v>146</v>
      </c>
      <c r="Q33" s="12">
        <v>6.7000000000000004E-2</v>
      </c>
      <c r="V33" s="1"/>
      <c r="W33" s="1"/>
      <c r="X33" s="1"/>
      <c r="Y33" s="1"/>
      <c r="Z33" s="1"/>
    </row>
    <row r="34" spans="1:143" ht="24" customHeight="1">
      <c r="A34" s="353"/>
      <c r="B34" s="358" t="s">
        <v>92</v>
      </c>
      <c r="C34" s="278" t="s">
        <v>112</v>
      </c>
      <c r="D34" s="275">
        <f>各種シミュレーション!$B$6*各種シミュレーション!$B$7</f>
        <v>480000</v>
      </c>
      <c r="E34" s="264">
        <f t="shared" si="6"/>
        <v>7.1515518122479268E-3</v>
      </c>
      <c r="F34" s="264"/>
      <c r="G34" s="273" t="s">
        <v>315</v>
      </c>
      <c r="J34" s="290" t="s">
        <v>26</v>
      </c>
      <c r="K34" s="293">
        <f t="shared" si="5"/>
        <v>5760000</v>
      </c>
      <c r="L34" s="293">
        <f t="shared" si="3"/>
        <v>960000</v>
      </c>
      <c r="M34" s="293">
        <f t="shared" si="4"/>
        <v>4800000</v>
      </c>
      <c r="P34" s="290" t="s">
        <v>13</v>
      </c>
      <c r="Q34" s="290" t="s">
        <v>14</v>
      </c>
      <c r="R34" s="290" t="s">
        <v>15</v>
      </c>
      <c r="S34" s="290" t="s">
        <v>16</v>
      </c>
    </row>
    <row r="35" spans="1:143" ht="24" customHeight="1">
      <c r="A35" s="353"/>
      <c r="B35" s="359"/>
      <c r="C35" s="294" t="s">
        <v>147</v>
      </c>
      <c r="D35" s="301">
        <f>SUM(集客計画!E6:G6)</f>
        <v>500000</v>
      </c>
      <c r="E35" s="264">
        <f t="shared" si="6"/>
        <v>7.4495331377582566E-3</v>
      </c>
      <c r="F35" s="264" t="s">
        <v>270</v>
      </c>
      <c r="G35" s="302"/>
      <c r="J35" s="290" t="s">
        <v>27</v>
      </c>
      <c r="K35" s="293">
        <f t="shared" si="5"/>
        <v>4800000</v>
      </c>
      <c r="L35" s="293">
        <f t="shared" si="3"/>
        <v>960000</v>
      </c>
      <c r="M35" s="293">
        <f t="shared" si="4"/>
        <v>3840000</v>
      </c>
      <c r="O35" s="8"/>
      <c r="P35" s="290" t="s">
        <v>17</v>
      </c>
      <c r="Q35" s="293">
        <f>投資概要!D5</f>
        <v>3000000</v>
      </c>
      <c r="R35" s="293">
        <f>$Q$35/5</f>
        <v>600000</v>
      </c>
      <c r="S35" s="293">
        <f>Q35-R35</f>
        <v>2400000</v>
      </c>
      <c r="EG35" s="1"/>
      <c r="EH35" s="1"/>
      <c r="EI35" s="1"/>
      <c r="EJ35" s="1"/>
      <c r="EK35" s="1"/>
      <c r="EL35" s="1"/>
      <c r="EM35" s="1"/>
    </row>
    <row r="36" spans="1:143" ht="24" customHeight="1">
      <c r="A36" s="353"/>
      <c r="B36" s="359"/>
      <c r="C36" s="294" t="s">
        <v>148</v>
      </c>
      <c r="D36" s="301">
        <f>SUM(集客計画!E7:G7)</f>
        <v>2920000</v>
      </c>
      <c r="E36" s="264">
        <f t="shared" si="6"/>
        <v>4.3505273524508219E-2</v>
      </c>
      <c r="F36" s="264" t="s">
        <v>270</v>
      </c>
      <c r="G36" s="302"/>
      <c r="J36" s="290" t="s">
        <v>28</v>
      </c>
      <c r="K36" s="293">
        <f t="shared" si="5"/>
        <v>3840000</v>
      </c>
      <c r="L36" s="293">
        <f t="shared" si="3"/>
        <v>960000</v>
      </c>
      <c r="M36" s="293">
        <f t="shared" si="4"/>
        <v>2880000</v>
      </c>
      <c r="O36" s="8"/>
      <c r="P36" s="290" t="s">
        <v>18</v>
      </c>
      <c r="Q36" s="293">
        <f>S35</f>
        <v>2400000</v>
      </c>
      <c r="R36" s="293">
        <f>$Q$35/5</f>
        <v>600000</v>
      </c>
      <c r="S36" s="293">
        <f>Q36-R36</f>
        <v>1800000</v>
      </c>
      <c r="V36" s="8"/>
      <c r="EG36" s="1"/>
      <c r="EH36" s="1"/>
      <c r="EI36" s="1"/>
      <c r="EJ36" s="1"/>
      <c r="EK36" s="1"/>
      <c r="EL36" s="1"/>
      <c r="EM36" s="1"/>
    </row>
    <row r="37" spans="1:143" ht="24" customHeight="1">
      <c r="A37" s="353"/>
      <c r="B37" s="359"/>
      <c r="C37" s="294" t="s">
        <v>36</v>
      </c>
      <c r="D37" s="301">
        <f>SUM(集客計画!E8:G8)</f>
        <v>580000</v>
      </c>
      <c r="E37" s="264">
        <f t="shared" si="6"/>
        <v>8.6414584397995781E-3</v>
      </c>
      <c r="F37" s="264" t="s">
        <v>270</v>
      </c>
      <c r="G37" s="302"/>
      <c r="I37" s="8"/>
      <c r="J37" s="290" t="s">
        <v>29</v>
      </c>
      <c r="K37" s="293">
        <f t="shared" si="5"/>
        <v>2880000</v>
      </c>
      <c r="L37" s="293">
        <f t="shared" si="3"/>
        <v>960000</v>
      </c>
      <c r="M37" s="293">
        <f t="shared" si="4"/>
        <v>1920000</v>
      </c>
      <c r="P37" s="290" t="s">
        <v>19</v>
      </c>
      <c r="Q37" s="293">
        <f>S36</f>
        <v>1800000</v>
      </c>
      <c r="R37" s="293">
        <f>$Q$35/5</f>
        <v>600000</v>
      </c>
      <c r="S37" s="293">
        <f>Q37-R37</f>
        <v>1200000</v>
      </c>
      <c r="V37" s="8"/>
      <c r="EG37" s="1"/>
      <c r="EH37" s="1"/>
      <c r="EI37" s="1"/>
      <c r="EJ37" s="1"/>
      <c r="EK37" s="1"/>
      <c r="EL37" s="1"/>
      <c r="EM37" s="1"/>
    </row>
    <row r="38" spans="1:143" ht="24" customHeight="1">
      <c r="A38" s="353"/>
      <c r="B38" s="359"/>
      <c r="C38" s="294" t="s">
        <v>37</v>
      </c>
      <c r="D38" s="272">
        <v>30000</v>
      </c>
      <c r="E38" s="264">
        <f t="shared" si="6"/>
        <v>4.4697198826549543E-4</v>
      </c>
      <c r="F38" s="264"/>
      <c r="G38" s="302"/>
      <c r="I38" s="8"/>
      <c r="J38" s="290" t="s">
        <v>30</v>
      </c>
      <c r="K38" s="293">
        <f t="shared" si="5"/>
        <v>1920000</v>
      </c>
      <c r="L38" s="293">
        <f t="shared" si="3"/>
        <v>960000</v>
      </c>
      <c r="M38" s="293">
        <f t="shared" si="4"/>
        <v>960000</v>
      </c>
      <c r="P38" s="290" t="s">
        <v>20</v>
      </c>
      <c r="Q38" s="293">
        <f>S37</f>
        <v>1200000</v>
      </c>
      <c r="R38" s="293">
        <f>$Q$35/5</f>
        <v>600000</v>
      </c>
      <c r="S38" s="293">
        <f>Q38-R38</f>
        <v>600000</v>
      </c>
      <c r="EG38" s="1"/>
      <c r="EH38" s="1"/>
      <c r="EI38" s="1"/>
      <c r="EJ38" s="1"/>
      <c r="EK38" s="1"/>
      <c r="EL38" s="1"/>
      <c r="EM38" s="1"/>
    </row>
    <row r="39" spans="1:143" ht="24" customHeight="1">
      <c r="A39" s="353"/>
      <c r="B39" s="359"/>
      <c r="C39" s="285" t="s">
        <v>38</v>
      </c>
      <c r="D39" s="272">
        <v>300000</v>
      </c>
      <c r="E39" s="264">
        <f t="shared" si="6"/>
        <v>4.4697198826549539E-3</v>
      </c>
      <c r="F39" s="264"/>
      <c r="G39" s="303"/>
      <c r="J39" s="290" t="s">
        <v>31</v>
      </c>
      <c r="K39" s="293">
        <f t="shared" si="5"/>
        <v>960000</v>
      </c>
      <c r="L39" s="293">
        <f t="shared" si="3"/>
        <v>960000</v>
      </c>
      <c r="M39" s="293">
        <f t="shared" si="4"/>
        <v>0</v>
      </c>
      <c r="P39" s="290" t="s">
        <v>21</v>
      </c>
      <c r="Q39" s="293">
        <f>S38</f>
        <v>600000</v>
      </c>
      <c r="R39" s="293">
        <f>$Q$35/5</f>
        <v>600000</v>
      </c>
      <c r="S39" s="293">
        <f>Q39-R39</f>
        <v>0</v>
      </c>
      <c r="EG39" s="1"/>
      <c r="EH39" s="1"/>
      <c r="EI39" s="1"/>
      <c r="EJ39" s="1"/>
      <c r="EK39" s="1"/>
      <c r="EL39" s="1"/>
      <c r="EM39" s="1"/>
    </row>
    <row r="40" spans="1:143" ht="24" customHeight="1">
      <c r="A40" s="353"/>
      <c r="B40" s="359"/>
      <c r="C40" s="285" t="s">
        <v>39</v>
      </c>
      <c r="D40" s="304">
        <v>100000</v>
      </c>
      <c r="E40" s="264">
        <f t="shared" si="6"/>
        <v>1.4899066275516513E-3</v>
      </c>
      <c r="F40" s="305"/>
      <c r="G40" s="306" t="s">
        <v>98</v>
      </c>
    </row>
    <row r="41" spans="1:143" ht="24" customHeight="1">
      <c r="A41" s="353"/>
      <c r="B41" s="360"/>
      <c r="C41" s="307" t="s">
        <v>80</v>
      </c>
      <c r="D41" s="308">
        <f>SUM(D34:D40)</f>
        <v>4910000</v>
      </c>
      <c r="E41" s="269">
        <f t="shared" si="6"/>
        <v>7.3154415412786084E-2</v>
      </c>
      <c r="F41" s="288"/>
      <c r="G41" s="292"/>
    </row>
    <row r="42" spans="1:143" ht="24" customHeight="1">
      <c r="A42" s="354"/>
      <c r="B42" s="309"/>
      <c r="C42" s="310" t="s">
        <v>292</v>
      </c>
      <c r="D42" s="311">
        <f>SUM(D5,D10,D19,D24,D33,D41)</f>
        <v>67118300</v>
      </c>
      <c r="E42" s="264">
        <f t="shared" si="6"/>
        <v>1</v>
      </c>
      <c r="F42" s="264"/>
      <c r="G42" s="312"/>
    </row>
    <row r="43" spans="1:143" s="8" customFormat="1" ht="24" customHeight="1">
      <c r="A43" s="313"/>
      <c r="B43" s="313"/>
      <c r="C43" s="314" t="s">
        <v>102</v>
      </c>
      <c r="D43" s="315">
        <f>D42-D6-N9</f>
        <v>33038300</v>
      </c>
      <c r="E43" s="264">
        <f t="shared" si="6"/>
        <v>0.49223982133039723</v>
      </c>
      <c r="F43" s="264"/>
      <c r="G43" s="262" t="s">
        <v>103</v>
      </c>
      <c r="H43" s="1"/>
      <c r="I43" s="1"/>
      <c r="J43" s="1"/>
      <c r="K43" s="1"/>
      <c r="L43" s="1"/>
      <c r="M43" s="1"/>
      <c r="N43" s="1"/>
      <c r="O43" s="1"/>
      <c r="P43" s="1"/>
      <c r="Q43" s="1"/>
      <c r="R43" s="1"/>
      <c r="S43" s="1"/>
      <c r="T43" s="1"/>
      <c r="U43" s="1"/>
      <c r="V43" s="1"/>
      <c r="W43" s="1"/>
      <c r="X43" s="1"/>
      <c r="Y43" s="1"/>
      <c r="Z43" s="1"/>
    </row>
    <row r="44" spans="1:143" s="8" customFormat="1" ht="24" customHeight="1">
      <c r="B44" s="251"/>
      <c r="D44" s="245"/>
      <c r="E44" s="245"/>
      <c r="F44" s="245"/>
      <c r="H44" s="1"/>
      <c r="I44" s="1"/>
      <c r="J44" s="1"/>
      <c r="K44" s="1"/>
      <c r="L44" s="1"/>
      <c r="M44" s="1"/>
      <c r="N44" s="1"/>
      <c r="O44" s="1"/>
      <c r="P44" s="1"/>
      <c r="Q44" s="1"/>
      <c r="R44" s="1"/>
      <c r="S44" s="1"/>
      <c r="T44" s="1"/>
      <c r="U44" s="1"/>
      <c r="V44" s="1"/>
      <c r="W44" s="1"/>
      <c r="X44" s="1"/>
      <c r="Y44" s="1"/>
      <c r="Z44" s="1"/>
    </row>
    <row r="45" spans="1:143" s="8" customFormat="1" ht="24" customHeight="1">
      <c r="B45" s="251"/>
      <c r="D45" s="245"/>
      <c r="E45" s="245"/>
      <c r="F45" s="245"/>
      <c r="H45" s="1"/>
      <c r="I45" s="1"/>
      <c r="J45" s="1"/>
      <c r="K45" s="1"/>
      <c r="L45" s="1"/>
      <c r="M45" s="1"/>
      <c r="N45" s="1"/>
      <c r="O45" s="1"/>
      <c r="P45" s="1"/>
      <c r="Q45" s="1"/>
      <c r="R45" s="1"/>
      <c r="S45" s="1"/>
      <c r="T45" s="1"/>
      <c r="U45" s="1"/>
      <c r="V45" s="1"/>
      <c r="W45" s="1"/>
      <c r="X45" s="1"/>
      <c r="Y45" s="1"/>
      <c r="Z45" s="1"/>
    </row>
    <row r="46" spans="1:143" s="8" customFormat="1" ht="24" customHeight="1">
      <c r="D46" s="245"/>
      <c r="H46" s="1"/>
      <c r="I46" s="1"/>
      <c r="J46" s="1"/>
      <c r="K46" s="1"/>
      <c r="L46" s="1"/>
      <c r="M46" s="1"/>
      <c r="N46" s="1"/>
      <c r="O46" s="1"/>
      <c r="P46" s="1"/>
      <c r="Q46" s="1"/>
      <c r="R46" s="1"/>
      <c r="S46" s="1"/>
      <c r="T46" s="1"/>
      <c r="U46" s="1"/>
      <c r="V46" s="1"/>
      <c r="W46" s="1"/>
      <c r="X46" s="1"/>
      <c r="Y46" s="1"/>
      <c r="Z46" s="1"/>
    </row>
    <row r="47" spans="1:143" s="8" customFormat="1" ht="24" customHeight="1">
      <c r="D47" s="245"/>
      <c r="H47" s="1"/>
      <c r="I47" s="1"/>
      <c r="J47" s="1"/>
      <c r="K47" s="1"/>
      <c r="L47" s="1"/>
      <c r="M47" s="1"/>
      <c r="N47" s="1"/>
      <c r="O47" s="1"/>
      <c r="P47" s="1"/>
      <c r="Q47" s="1"/>
      <c r="R47" s="1"/>
      <c r="S47" s="1"/>
      <c r="T47" s="1"/>
      <c r="U47" s="1"/>
      <c r="V47" s="1"/>
      <c r="W47" s="1"/>
      <c r="X47" s="1"/>
      <c r="Y47" s="1"/>
      <c r="Z47" s="1"/>
    </row>
    <row r="48" spans="1:143" s="8" customFormat="1" ht="24" customHeight="1">
      <c r="D48" s="245"/>
      <c r="H48" s="1"/>
      <c r="I48" s="1"/>
      <c r="J48" s="1"/>
      <c r="K48" s="1"/>
      <c r="L48" s="1"/>
      <c r="M48" s="1"/>
      <c r="N48" s="1"/>
      <c r="O48" s="1"/>
      <c r="P48" s="1"/>
      <c r="Q48" s="1"/>
      <c r="R48" s="1"/>
      <c r="S48" s="1"/>
      <c r="T48" s="1"/>
      <c r="U48" s="1"/>
      <c r="V48" s="1"/>
      <c r="W48" s="1"/>
      <c r="X48" s="1"/>
      <c r="Y48" s="1"/>
      <c r="Z48" s="1"/>
    </row>
    <row r="49" spans="1:26" s="8" customFormat="1" ht="24" customHeight="1">
      <c r="D49" s="245"/>
      <c r="H49" s="1"/>
      <c r="I49" s="1"/>
      <c r="J49" s="1"/>
      <c r="K49" s="1"/>
      <c r="L49" s="1"/>
      <c r="M49" s="1"/>
      <c r="N49" s="1"/>
      <c r="O49" s="1"/>
      <c r="P49" s="1"/>
      <c r="Q49" s="1"/>
      <c r="R49" s="1"/>
      <c r="S49" s="1"/>
      <c r="T49" s="1"/>
      <c r="U49" s="1"/>
      <c r="V49" s="1"/>
      <c r="W49" s="1"/>
      <c r="X49" s="1"/>
      <c r="Y49" s="1"/>
      <c r="Z49" s="1"/>
    </row>
    <row r="50" spans="1:26" s="8" customFormat="1" ht="24" customHeight="1">
      <c r="D50" s="245"/>
      <c r="E50" s="245"/>
      <c r="F50" s="245"/>
      <c r="H50" s="1"/>
      <c r="I50" s="1"/>
      <c r="J50" s="1"/>
      <c r="K50" s="1"/>
      <c r="L50" s="1"/>
      <c r="M50" s="1"/>
      <c r="N50" s="1"/>
      <c r="O50" s="1"/>
      <c r="P50" s="1"/>
      <c r="Q50" s="1"/>
      <c r="R50" s="1"/>
      <c r="S50" s="1"/>
      <c r="T50" s="1"/>
      <c r="U50" s="1"/>
      <c r="V50" s="1"/>
      <c r="W50" s="1"/>
      <c r="X50" s="1"/>
      <c r="Y50" s="1"/>
      <c r="Z50" s="1"/>
    </row>
    <row r="51" spans="1:26" s="8" customFormat="1" ht="24" customHeight="1">
      <c r="A51" s="316"/>
      <c r="B51" s="251"/>
      <c r="D51" s="245"/>
      <c r="E51" s="245"/>
      <c r="F51" s="245"/>
      <c r="H51" s="1"/>
      <c r="I51" s="1"/>
      <c r="J51" s="1"/>
      <c r="K51" s="1"/>
      <c r="L51" s="1"/>
      <c r="M51" s="1"/>
      <c r="N51" s="1"/>
      <c r="O51" s="1"/>
      <c r="P51" s="1"/>
      <c r="Q51" s="1"/>
      <c r="R51" s="1"/>
      <c r="S51" s="1"/>
      <c r="T51" s="1"/>
      <c r="U51" s="1"/>
      <c r="V51" s="1"/>
      <c r="W51" s="1"/>
      <c r="X51" s="1"/>
      <c r="Y51" s="1"/>
      <c r="Z51" s="1"/>
    </row>
    <row r="52" spans="1:26" s="8" customFormat="1" ht="24" customHeight="1">
      <c r="B52" s="251"/>
      <c r="D52" s="245"/>
      <c r="E52" s="245"/>
      <c r="F52" s="245"/>
      <c r="H52" s="1"/>
      <c r="I52" s="1"/>
      <c r="J52" s="1"/>
      <c r="K52" s="1"/>
      <c r="L52" s="1"/>
      <c r="M52" s="1"/>
      <c r="N52" s="1"/>
      <c r="O52" s="1"/>
      <c r="P52" s="1"/>
      <c r="Q52" s="1"/>
      <c r="R52" s="1"/>
      <c r="S52" s="1"/>
      <c r="T52" s="1"/>
      <c r="U52" s="1"/>
      <c r="V52" s="1"/>
      <c r="W52" s="1"/>
      <c r="X52" s="1"/>
      <c r="Y52" s="1"/>
      <c r="Z52" s="1"/>
    </row>
  </sheetData>
  <sheetProtection sheet="1" objects="1" scenarios="1"/>
  <mergeCells count="7">
    <mergeCell ref="A4:A42"/>
    <mergeCell ref="B20:B24"/>
    <mergeCell ref="B34:B41"/>
    <mergeCell ref="B25:B33"/>
    <mergeCell ref="B4:B5"/>
    <mergeCell ref="B6:B10"/>
    <mergeCell ref="B11:B19"/>
  </mergeCells>
  <phoneticPr fontId="5"/>
  <pageMargins left="0.7" right="0.7" top="0.75" bottom="0.75" header="0.3" footer="0.3"/>
  <pageSetup paperSize="9" scale="46"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CEF5A-D7FC-4E6F-8B4B-C712EC270077}">
  <sheetPr>
    <tabColor theme="1"/>
    <pageSetUpPr fitToPage="1"/>
  </sheetPr>
  <dimension ref="A1:EB78"/>
  <sheetViews>
    <sheetView zoomScale="60" zoomScaleNormal="60" workbookViewId="0">
      <pane xSplit="2" ySplit="3" topLeftCell="C4" activePane="bottomRight" state="frozen"/>
      <selection activeCell="I21" sqref="I21"/>
      <selection pane="topRight" activeCell="I21" sqref="I21"/>
      <selection pane="bottomLeft" activeCell="I21" sqref="I21"/>
      <selection pane="bottomRight" activeCell="I21" sqref="I21"/>
    </sheetView>
  </sheetViews>
  <sheetFormatPr defaultColWidth="14.58203125" defaultRowHeight="24" customHeight="1"/>
  <cols>
    <col min="1" max="1" width="7.75" style="256" bestFit="1" customWidth="1"/>
    <col min="2" max="2" width="50.6640625" style="1" customWidth="1"/>
    <col min="3" max="3" width="14.58203125" style="8" customWidth="1"/>
    <col min="4" max="14" width="14.58203125" style="8"/>
    <col min="15" max="15" width="18.58203125" style="319" customWidth="1"/>
    <col min="16" max="27" width="14.58203125" style="8"/>
    <col min="28" max="28" width="18.58203125" style="319" customWidth="1"/>
    <col min="29" max="40" width="14.58203125" style="8"/>
    <col min="41" max="41" width="18.58203125" style="319" customWidth="1"/>
    <col min="42" max="53" width="14.58203125" style="8"/>
    <col min="54" max="54" width="18.58203125" style="319" customWidth="1"/>
    <col min="55" max="66" width="14.58203125" style="8"/>
    <col min="67" max="67" width="18.58203125" style="319" customWidth="1"/>
    <col min="68" max="79" width="14.58203125" style="8"/>
    <col min="80" max="80" width="18.58203125" style="319" customWidth="1"/>
    <col min="81" max="92" width="14.58203125" style="8"/>
    <col min="93" max="93" width="18.58203125" style="319" customWidth="1"/>
    <col min="94" max="105" width="14.58203125" style="8"/>
    <col min="106" max="106" width="18.58203125" style="319" customWidth="1"/>
    <col min="107" max="118" width="14.58203125" style="8"/>
    <col min="119" max="119" width="18.58203125" style="319" customWidth="1"/>
    <col min="120" max="131" width="14.58203125" style="8"/>
    <col min="132" max="132" width="18.58203125" style="320" customWidth="1"/>
    <col min="133" max="16384" width="14.58203125" style="1"/>
  </cols>
  <sheetData>
    <row r="1" spans="1:132" ht="24" customHeight="1">
      <c r="A1" s="317"/>
      <c r="B1" s="317"/>
      <c r="C1" s="318" t="s">
        <v>123</v>
      </c>
      <c r="D1" s="318" t="s">
        <v>124</v>
      </c>
      <c r="E1" s="318" t="s">
        <v>125</v>
      </c>
      <c r="F1" s="318" t="s">
        <v>126</v>
      </c>
      <c r="G1" s="318" t="s">
        <v>322</v>
      </c>
      <c r="H1" s="318" t="s">
        <v>127</v>
      </c>
      <c r="I1" s="318" t="s">
        <v>128</v>
      </c>
      <c r="J1" s="318" t="s">
        <v>129</v>
      </c>
      <c r="K1" s="318" t="s">
        <v>130</v>
      </c>
      <c r="L1" s="318" t="s">
        <v>131</v>
      </c>
      <c r="M1" s="318" t="s">
        <v>132</v>
      </c>
      <c r="N1" s="318" t="s">
        <v>133</v>
      </c>
      <c r="P1" s="318" t="s">
        <v>123</v>
      </c>
      <c r="Q1" s="318" t="s">
        <v>124</v>
      </c>
      <c r="R1" s="318" t="s">
        <v>125</v>
      </c>
      <c r="S1" s="318" t="s">
        <v>126</v>
      </c>
      <c r="T1" s="318" t="s">
        <v>322</v>
      </c>
      <c r="U1" s="318" t="s">
        <v>127</v>
      </c>
      <c r="V1" s="318" t="s">
        <v>128</v>
      </c>
      <c r="W1" s="318" t="s">
        <v>129</v>
      </c>
      <c r="X1" s="318" t="s">
        <v>130</v>
      </c>
      <c r="Y1" s="318" t="s">
        <v>131</v>
      </c>
      <c r="Z1" s="318" t="s">
        <v>132</v>
      </c>
      <c r="AA1" s="318" t="s">
        <v>133</v>
      </c>
      <c r="AC1" s="318" t="s">
        <v>123</v>
      </c>
      <c r="AD1" s="318" t="s">
        <v>124</v>
      </c>
      <c r="AE1" s="318" t="s">
        <v>125</v>
      </c>
      <c r="AF1" s="318" t="s">
        <v>126</v>
      </c>
      <c r="AG1" s="318" t="s">
        <v>322</v>
      </c>
      <c r="AH1" s="318" t="s">
        <v>127</v>
      </c>
      <c r="AI1" s="318" t="s">
        <v>128</v>
      </c>
      <c r="AJ1" s="318" t="s">
        <v>129</v>
      </c>
      <c r="AK1" s="318" t="s">
        <v>130</v>
      </c>
      <c r="AL1" s="318" t="s">
        <v>131</v>
      </c>
      <c r="AM1" s="318" t="s">
        <v>132</v>
      </c>
      <c r="AN1" s="318" t="s">
        <v>133</v>
      </c>
      <c r="AP1" s="318" t="s">
        <v>123</v>
      </c>
      <c r="AQ1" s="318" t="s">
        <v>124</v>
      </c>
      <c r="AR1" s="318" t="s">
        <v>125</v>
      </c>
      <c r="AS1" s="318" t="s">
        <v>126</v>
      </c>
      <c r="AT1" s="318" t="s">
        <v>322</v>
      </c>
      <c r="AU1" s="318" t="s">
        <v>127</v>
      </c>
      <c r="AV1" s="318" t="s">
        <v>128</v>
      </c>
      <c r="AW1" s="318" t="s">
        <v>129</v>
      </c>
      <c r="AX1" s="318" t="s">
        <v>130</v>
      </c>
      <c r="AY1" s="318" t="s">
        <v>131</v>
      </c>
      <c r="AZ1" s="318" t="s">
        <v>132</v>
      </c>
      <c r="BA1" s="318" t="s">
        <v>133</v>
      </c>
      <c r="BC1" s="318" t="s">
        <v>123</v>
      </c>
      <c r="BD1" s="318" t="s">
        <v>124</v>
      </c>
      <c r="BE1" s="318" t="s">
        <v>125</v>
      </c>
      <c r="BF1" s="318" t="s">
        <v>126</v>
      </c>
      <c r="BG1" s="318" t="s">
        <v>322</v>
      </c>
      <c r="BH1" s="318" t="s">
        <v>127</v>
      </c>
      <c r="BI1" s="318" t="s">
        <v>128</v>
      </c>
      <c r="BJ1" s="318" t="s">
        <v>129</v>
      </c>
      <c r="BK1" s="318" t="s">
        <v>130</v>
      </c>
      <c r="BL1" s="318" t="s">
        <v>131</v>
      </c>
      <c r="BM1" s="318" t="s">
        <v>132</v>
      </c>
      <c r="BN1" s="318" t="s">
        <v>133</v>
      </c>
      <c r="BP1" s="318" t="s">
        <v>123</v>
      </c>
      <c r="BQ1" s="318" t="s">
        <v>124</v>
      </c>
      <c r="BR1" s="318" t="s">
        <v>125</v>
      </c>
      <c r="BS1" s="318" t="s">
        <v>126</v>
      </c>
      <c r="BT1" s="318" t="s">
        <v>322</v>
      </c>
      <c r="BU1" s="318" t="s">
        <v>127</v>
      </c>
      <c r="BV1" s="318" t="s">
        <v>128</v>
      </c>
      <c r="BW1" s="318" t="s">
        <v>129</v>
      </c>
      <c r="BX1" s="318" t="s">
        <v>130</v>
      </c>
      <c r="BY1" s="318" t="s">
        <v>131</v>
      </c>
      <c r="BZ1" s="318" t="s">
        <v>132</v>
      </c>
      <c r="CA1" s="318" t="s">
        <v>133</v>
      </c>
      <c r="CC1" s="318" t="s">
        <v>123</v>
      </c>
      <c r="CD1" s="318" t="s">
        <v>124</v>
      </c>
      <c r="CE1" s="318" t="s">
        <v>125</v>
      </c>
      <c r="CF1" s="318" t="s">
        <v>126</v>
      </c>
      <c r="CG1" s="318" t="s">
        <v>322</v>
      </c>
      <c r="CH1" s="318" t="s">
        <v>127</v>
      </c>
      <c r="CI1" s="318" t="s">
        <v>128</v>
      </c>
      <c r="CJ1" s="318" t="s">
        <v>129</v>
      </c>
      <c r="CK1" s="318" t="s">
        <v>130</v>
      </c>
      <c r="CL1" s="318" t="s">
        <v>131</v>
      </c>
      <c r="CM1" s="318" t="s">
        <v>132</v>
      </c>
      <c r="CN1" s="318" t="s">
        <v>133</v>
      </c>
      <c r="CP1" s="318" t="s">
        <v>123</v>
      </c>
      <c r="CQ1" s="318" t="s">
        <v>124</v>
      </c>
      <c r="CR1" s="318" t="s">
        <v>125</v>
      </c>
      <c r="CS1" s="318" t="s">
        <v>126</v>
      </c>
      <c r="CT1" s="318" t="s">
        <v>322</v>
      </c>
      <c r="CU1" s="318" t="s">
        <v>127</v>
      </c>
      <c r="CV1" s="318" t="s">
        <v>128</v>
      </c>
      <c r="CW1" s="318" t="s">
        <v>129</v>
      </c>
      <c r="CX1" s="318" t="s">
        <v>130</v>
      </c>
      <c r="CY1" s="318" t="s">
        <v>131</v>
      </c>
      <c r="CZ1" s="318" t="s">
        <v>132</v>
      </c>
      <c r="DA1" s="318" t="s">
        <v>133</v>
      </c>
      <c r="DC1" s="318" t="s">
        <v>123</v>
      </c>
      <c r="DD1" s="318" t="s">
        <v>124</v>
      </c>
      <c r="DE1" s="318" t="s">
        <v>125</v>
      </c>
      <c r="DF1" s="318" t="s">
        <v>126</v>
      </c>
      <c r="DG1" s="318" t="s">
        <v>322</v>
      </c>
      <c r="DH1" s="318" t="s">
        <v>127</v>
      </c>
      <c r="DI1" s="318" t="s">
        <v>128</v>
      </c>
      <c r="DJ1" s="318" t="s">
        <v>129</v>
      </c>
      <c r="DK1" s="318" t="s">
        <v>130</v>
      </c>
      <c r="DL1" s="318" t="s">
        <v>131</v>
      </c>
      <c r="DM1" s="318" t="s">
        <v>132</v>
      </c>
      <c r="DN1" s="318" t="s">
        <v>133</v>
      </c>
      <c r="DP1" s="318" t="s">
        <v>123</v>
      </c>
      <c r="DQ1" s="318" t="s">
        <v>124</v>
      </c>
      <c r="DR1" s="318" t="s">
        <v>125</v>
      </c>
      <c r="DS1" s="318" t="s">
        <v>126</v>
      </c>
      <c r="DT1" s="318" t="s">
        <v>322</v>
      </c>
      <c r="DU1" s="318" t="s">
        <v>127</v>
      </c>
      <c r="DV1" s="318" t="s">
        <v>128</v>
      </c>
      <c r="DW1" s="318" t="s">
        <v>129</v>
      </c>
      <c r="DX1" s="318" t="s">
        <v>130</v>
      </c>
      <c r="DY1" s="318" t="s">
        <v>131</v>
      </c>
      <c r="DZ1" s="318" t="s">
        <v>132</v>
      </c>
      <c r="EA1" s="318" t="s">
        <v>133</v>
      </c>
    </row>
    <row r="2" spans="1:132" s="256" customFormat="1" ht="24" customHeight="1">
      <c r="A2" s="317"/>
      <c r="B2" s="317"/>
      <c r="C2" s="245">
        <v>1</v>
      </c>
      <c r="D2" s="245">
        <f t="shared" ref="D2:N2" si="0">C2+1</f>
        <v>2</v>
      </c>
      <c r="E2" s="245">
        <f t="shared" si="0"/>
        <v>3</v>
      </c>
      <c r="F2" s="245">
        <f t="shared" si="0"/>
        <v>4</v>
      </c>
      <c r="G2" s="245">
        <f t="shared" si="0"/>
        <v>5</v>
      </c>
      <c r="H2" s="245">
        <f t="shared" si="0"/>
        <v>6</v>
      </c>
      <c r="I2" s="245">
        <f t="shared" si="0"/>
        <v>7</v>
      </c>
      <c r="J2" s="245">
        <f t="shared" si="0"/>
        <v>8</v>
      </c>
      <c r="K2" s="245">
        <f t="shared" si="0"/>
        <v>9</v>
      </c>
      <c r="L2" s="245">
        <f t="shared" si="0"/>
        <v>10</v>
      </c>
      <c r="M2" s="245">
        <f t="shared" si="0"/>
        <v>11</v>
      </c>
      <c r="N2" s="245">
        <f t="shared" si="0"/>
        <v>12</v>
      </c>
      <c r="O2" s="321"/>
      <c r="P2" s="245">
        <f>N2+1</f>
        <v>13</v>
      </c>
      <c r="Q2" s="245">
        <f t="shared" ref="Q2:AA2" si="1">P2+1</f>
        <v>14</v>
      </c>
      <c r="R2" s="245">
        <f t="shared" si="1"/>
        <v>15</v>
      </c>
      <c r="S2" s="245">
        <f t="shared" si="1"/>
        <v>16</v>
      </c>
      <c r="T2" s="245">
        <f t="shared" si="1"/>
        <v>17</v>
      </c>
      <c r="U2" s="245">
        <f t="shared" si="1"/>
        <v>18</v>
      </c>
      <c r="V2" s="245">
        <f t="shared" si="1"/>
        <v>19</v>
      </c>
      <c r="W2" s="245">
        <f t="shared" si="1"/>
        <v>20</v>
      </c>
      <c r="X2" s="245">
        <f t="shared" si="1"/>
        <v>21</v>
      </c>
      <c r="Y2" s="245">
        <f t="shared" si="1"/>
        <v>22</v>
      </c>
      <c r="Z2" s="245">
        <f t="shared" si="1"/>
        <v>23</v>
      </c>
      <c r="AA2" s="245">
        <f t="shared" si="1"/>
        <v>24</v>
      </c>
      <c r="AB2" s="321"/>
      <c r="AC2" s="245">
        <f>AA2+1</f>
        <v>25</v>
      </c>
      <c r="AD2" s="245">
        <f t="shared" ref="AD2:AN2" si="2">AC2+1</f>
        <v>26</v>
      </c>
      <c r="AE2" s="245">
        <f t="shared" si="2"/>
        <v>27</v>
      </c>
      <c r="AF2" s="245">
        <f t="shared" si="2"/>
        <v>28</v>
      </c>
      <c r="AG2" s="245">
        <f t="shared" si="2"/>
        <v>29</v>
      </c>
      <c r="AH2" s="245">
        <f t="shared" si="2"/>
        <v>30</v>
      </c>
      <c r="AI2" s="245">
        <f t="shared" si="2"/>
        <v>31</v>
      </c>
      <c r="AJ2" s="245">
        <f t="shared" si="2"/>
        <v>32</v>
      </c>
      <c r="AK2" s="245">
        <f t="shared" si="2"/>
        <v>33</v>
      </c>
      <c r="AL2" s="245">
        <f t="shared" si="2"/>
        <v>34</v>
      </c>
      <c r="AM2" s="245">
        <f t="shared" si="2"/>
        <v>35</v>
      </c>
      <c r="AN2" s="245">
        <f t="shared" si="2"/>
        <v>36</v>
      </c>
      <c r="AO2" s="321"/>
      <c r="AP2" s="245">
        <f>AN2+1</f>
        <v>37</v>
      </c>
      <c r="AQ2" s="245">
        <f t="shared" ref="AQ2:BA2" si="3">AP2+1</f>
        <v>38</v>
      </c>
      <c r="AR2" s="245">
        <f t="shared" si="3"/>
        <v>39</v>
      </c>
      <c r="AS2" s="245">
        <f t="shared" si="3"/>
        <v>40</v>
      </c>
      <c r="AT2" s="245">
        <f t="shared" si="3"/>
        <v>41</v>
      </c>
      <c r="AU2" s="245">
        <f t="shared" si="3"/>
        <v>42</v>
      </c>
      <c r="AV2" s="245">
        <f t="shared" si="3"/>
        <v>43</v>
      </c>
      <c r="AW2" s="245">
        <f t="shared" si="3"/>
        <v>44</v>
      </c>
      <c r="AX2" s="245">
        <f t="shared" si="3"/>
        <v>45</v>
      </c>
      <c r="AY2" s="245">
        <f t="shared" si="3"/>
        <v>46</v>
      </c>
      <c r="AZ2" s="245">
        <f t="shared" si="3"/>
        <v>47</v>
      </c>
      <c r="BA2" s="245">
        <f t="shared" si="3"/>
        <v>48</v>
      </c>
      <c r="BB2" s="321"/>
      <c r="BC2" s="245">
        <f>BA2+1</f>
        <v>49</v>
      </c>
      <c r="BD2" s="245">
        <f t="shared" ref="BD2:BN2" si="4">BC2+1</f>
        <v>50</v>
      </c>
      <c r="BE2" s="245">
        <f t="shared" si="4"/>
        <v>51</v>
      </c>
      <c r="BF2" s="245">
        <f t="shared" si="4"/>
        <v>52</v>
      </c>
      <c r="BG2" s="245">
        <f t="shared" si="4"/>
        <v>53</v>
      </c>
      <c r="BH2" s="245">
        <f t="shared" si="4"/>
        <v>54</v>
      </c>
      <c r="BI2" s="245">
        <f t="shared" si="4"/>
        <v>55</v>
      </c>
      <c r="BJ2" s="245">
        <f t="shared" si="4"/>
        <v>56</v>
      </c>
      <c r="BK2" s="245">
        <f t="shared" si="4"/>
        <v>57</v>
      </c>
      <c r="BL2" s="245">
        <f t="shared" si="4"/>
        <v>58</v>
      </c>
      <c r="BM2" s="245">
        <f t="shared" si="4"/>
        <v>59</v>
      </c>
      <c r="BN2" s="245">
        <f t="shared" si="4"/>
        <v>60</v>
      </c>
      <c r="BO2" s="321"/>
      <c r="BP2" s="245">
        <f>BN2+1</f>
        <v>61</v>
      </c>
      <c r="BQ2" s="245">
        <f t="shared" ref="BQ2:CA2" si="5">BP2+1</f>
        <v>62</v>
      </c>
      <c r="BR2" s="245">
        <f t="shared" si="5"/>
        <v>63</v>
      </c>
      <c r="BS2" s="245">
        <f t="shared" si="5"/>
        <v>64</v>
      </c>
      <c r="BT2" s="245">
        <f t="shared" si="5"/>
        <v>65</v>
      </c>
      <c r="BU2" s="245">
        <f t="shared" si="5"/>
        <v>66</v>
      </c>
      <c r="BV2" s="245">
        <f t="shared" si="5"/>
        <v>67</v>
      </c>
      <c r="BW2" s="245">
        <f t="shared" si="5"/>
        <v>68</v>
      </c>
      <c r="BX2" s="245">
        <f t="shared" si="5"/>
        <v>69</v>
      </c>
      <c r="BY2" s="245">
        <f t="shared" si="5"/>
        <v>70</v>
      </c>
      <c r="BZ2" s="245">
        <f t="shared" si="5"/>
        <v>71</v>
      </c>
      <c r="CA2" s="245">
        <f t="shared" si="5"/>
        <v>72</v>
      </c>
      <c r="CB2" s="321"/>
      <c r="CC2" s="245">
        <f>CA2+1</f>
        <v>73</v>
      </c>
      <c r="CD2" s="245">
        <f t="shared" ref="CD2:CN2" si="6">CC2+1</f>
        <v>74</v>
      </c>
      <c r="CE2" s="245">
        <f t="shared" si="6"/>
        <v>75</v>
      </c>
      <c r="CF2" s="245">
        <f t="shared" si="6"/>
        <v>76</v>
      </c>
      <c r="CG2" s="245">
        <f t="shared" si="6"/>
        <v>77</v>
      </c>
      <c r="CH2" s="245">
        <f t="shared" si="6"/>
        <v>78</v>
      </c>
      <c r="CI2" s="245">
        <f t="shared" si="6"/>
        <v>79</v>
      </c>
      <c r="CJ2" s="245">
        <f t="shared" si="6"/>
        <v>80</v>
      </c>
      <c r="CK2" s="245">
        <f t="shared" si="6"/>
        <v>81</v>
      </c>
      <c r="CL2" s="245">
        <f t="shared" si="6"/>
        <v>82</v>
      </c>
      <c r="CM2" s="245">
        <f t="shared" si="6"/>
        <v>83</v>
      </c>
      <c r="CN2" s="245">
        <f t="shared" si="6"/>
        <v>84</v>
      </c>
      <c r="CO2" s="321"/>
      <c r="CP2" s="245">
        <f>CN2+1</f>
        <v>85</v>
      </c>
      <c r="CQ2" s="245">
        <f t="shared" ref="CQ2:DA2" si="7">CP2+1</f>
        <v>86</v>
      </c>
      <c r="CR2" s="245">
        <f t="shared" si="7"/>
        <v>87</v>
      </c>
      <c r="CS2" s="245">
        <f t="shared" si="7"/>
        <v>88</v>
      </c>
      <c r="CT2" s="245">
        <f t="shared" si="7"/>
        <v>89</v>
      </c>
      <c r="CU2" s="245">
        <f t="shared" si="7"/>
        <v>90</v>
      </c>
      <c r="CV2" s="245">
        <f t="shared" si="7"/>
        <v>91</v>
      </c>
      <c r="CW2" s="245">
        <f t="shared" si="7"/>
        <v>92</v>
      </c>
      <c r="CX2" s="245">
        <f t="shared" si="7"/>
        <v>93</v>
      </c>
      <c r="CY2" s="245">
        <f t="shared" si="7"/>
        <v>94</v>
      </c>
      <c r="CZ2" s="245">
        <f t="shared" si="7"/>
        <v>95</v>
      </c>
      <c r="DA2" s="245">
        <f t="shared" si="7"/>
        <v>96</v>
      </c>
      <c r="DB2" s="321"/>
      <c r="DC2" s="245">
        <f>DA2+1</f>
        <v>97</v>
      </c>
      <c r="DD2" s="245">
        <f t="shared" ref="DD2:DN2" si="8">DC2+1</f>
        <v>98</v>
      </c>
      <c r="DE2" s="245">
        <f t="shared" si="8"/>
        <v>99</v>
      </c>
      <c r="DF2" s="245">
        <f t="shared" si="8"/>
        <v>100</v>
      </c>
      <c r="DG2" s="245">
        <f t="shared" si="8"/>
        <v>101</v>
      </c>
      <c r="DH2" s="245">
        <f t="shared" si="8"/>
        <v>102</v>
      </c>
      <c r="DI2" s="245">
        <f t="shared" si="8"/>
        <v>103</v>
      </c>
      <c r="DJ2" s="245">
        <f t="shared" si="8"/>
        <v>104</v>
      </c>
      <c r="DK2" s="245">
        <f t="shared" si="8"/>
        <v>105</v>
      </c>
      <c r="DL2" s="245">
        <f t="shared" si="8"/>
        <v>106</v>
      </c>
      <c r="DM2" s="245">
        <f t="shared" si="8"/>
        <v>107</v>
      </c>
      <c r="DN2" s="245">
        <f t="shared" si="8"/>
        <v>108</v>
      </c>
      <c r="DO2" s="321"/>
      <c r="DP2" s="245">
        <f>DN2+1</f>
        <v>109</v>
      </c>
      <c r="DQ2" s="245">
        <f t="shared" ref="DQ2:EA2" si="9">DP2+1</f>
        <v>110</v>
      </c>
      <c r="DR2" s="245">
        <f t="shared" si="9"/>
        <v>111</v>
      </c>
      <c r="DS2" s="245">
        <f t="shared" si="9"/>
        <v>112</v>
      </c>
      <c r="DT2" s="245">
        <f t="shared" si="9"/>
        <v>113</v>
      </c>
      <c r="DU2" s="245">
        <f t="shared" si="9"/>
        <v>114</v>
      </c>
      <c r="DV2" s="245">
        <f t="shared" si="9"/>
        <v>115</v>
      </c>
      <c r="DW2" s="245">
        <f t="shared" si="9"/>
        <v>116</v>
      </c>
      <c r="DX2" s="245">
        <f t="shared" si="9"/>
        <v>117</v>
      </c>
      <c r="DY2" s="245">
        <f t="shared" si="9"/>
        <v>118</v>
      </c>
      <c r="DZ2" s="245">
        <f t="shared" si="9"/>
        <v>119</v>
      </c>
      <c r="EA2" s="245">
        <f t="shared" si="9"/>
        <v>120</v>
      </c>
      <c r="EB2" s="322"/>
    </row>
    <row r="3" spans="1:132" ht="24" customHeight="1">
      <c r="C3" s="381" t="s">
        <v>0</v>
      </c>
      <c r="D3" s="382"/>
      <c r="E3" s="382"/>
      <c r="F3" s="382"/>
      <c r="G3" s="382"/>
      <c r="H3" s="382"/>
      <c r="I3" s="382"/>
      <c r="J3" s="382"/>
      <c r="K3" s="382"/>
      <c r="L3" s="382"/>
      <c r="M3" s="382"/>
      <c r="N3" s="382"/>
      <c r="O3" s="323" t="s">
        <v>47</v>
      </c>
      <c r="P3" s="380" t="s">
        <v>1</v>
      </c>
      <c r="Q3" s="380"/>
      <c r="R3" s="380"/>
      <c r="S3" s="380"/>
      <c r="T3" s="380"/>
      <c r="U3" s="380"/>
      <c r="V3" s="380"/>
      <c r="W3" s="380"/>
      <c r="X3" s="380"/>
      <c r="Y3" s="380"/>
      <c r="Z3" s="380"/>
      <c r="AA3" s="380"/>
      <c r="AB3" s="323" t="s">
        <v>47</v>
      </c>
      <c r="AC3" s="380" t="s">
        <v>2</v>
      </c>
      <c r="AD3" s="380"/>
      <c r="AE3" s="380"/>
      <c r="AF3" s="380"/>
      <c r="AG3" s="380"/>
      <c r="AH3" s="380"/>
      <c r="AI3" s="380"/>
      <c r="AJ3" s="380"/>
      <c r="AK3" s="380"/>
      <c r="AL3" s="380"/>
      <c r="AM3" s="380"/>
      <c r="AN3" s="380"/>
      <c r="AO3" s="323" t="s">
        <v>47</v>
      </c>
      <c r="AP3" s="380" t="s">
        <v>3</v>
      </c>
      <c r="AQ3" s="380"/>
      <c r="AR3" s="380"/>
      <c r="AS3" s="380"/>
      <c r="AT3" s="380"/>
      <c r="AU3" s="380"/>
      <c r="AV3" s="380"/>
      <c r="AW3" s="380"/>
      <c r="AX3" s="380"/>
      <c r="AY3" s="380"/>
      <c r="AZ3" s="380"/>
      <c r="BA3" s="380"/>
      <c r="BB3" s="324" t="s">
        <v>47</v>
      </c>
      <c r="BC3" s="380" t="s">
        <v>4</v>
      </c>
      <c r="BD3" s="380"/>
      <c r="BE3" s="380"/>
      <c r="BF3" s="380"/>
      <c r="BG3" s="380"/>
      <c r="BH3" s="380"/>
      <c r="BI3" s="380"/>
      <c r="BJ3" s="380"/>
      <c r="BK3" s="380"/>
      <c r="BL3" s="380"/>
      <c r="BM3" s="380"/>
      <c r="BN3" s="380"/>
      <c r="BO3" s="323" t="s">
        <v>47</v>
      </c>
      <c r="BP3" s="380" t="s">
        <v>5</v>
      </c>
      <c r="BQ3" s="380"/>
      <c r="BR3" s="380"/>
      <c r="BS3" s="380"/>
      <c r="BT3" s="380"/>
      <c r="BU3" s="380"/>
      <c r="BV3" s="380"/>
      <c r="BW3" s="380"/>
      <c r="BX3" s="380"/>
      <c r="BY3" s="380"/>
      <c r="BZ3" s="380"/>
      <c r="CA3" s="380"/>
      <c r="CB3" s="323" t="s">
        <v>47</v>
      </c>
      <c r="CC3" s="380" t="s">
        <v>6</v>
      </c>
      <c r="CD3" s="380"/>
      <c r="CE3" s="380"/>
      <c r="CF3" s="380"/>
      <c r="CG3" s="380"/>
      <c r="CH3" s="380"/>
      <c r="CI3" s="380"/>
      <c r="CJ3" s="380"/>
      <c r="CK3" s="380"/>
      <c r="CL3" s="380"/>
      <c r="CM3" s="380"/>
      <c r="CN3" s="380"/>
      <c r="CO3" s="323" t="s">
        <v>47</v>
      </c>
      <c r="CP3" s="380" t="s">
        <v>7</v>
      </c>
      <c r="CQ3" s="380"/>
      <c r="CR3" s="380"/>
      <c r="CS3" s="380"/>
      <c r="CT3" s="380"/>
      <c r="CU3" s="380"/>
      <c r="CV3" s="380"/>
      <c r="CW3" s="380"/>
      <c r="CX3" s="380"/>
      <c r="CY3" s="380"/>
      <c r="CZ3" s="380"/>
      <c r="DA3" s="380"/>
      <c r="DB3" s="323" t="s">
        <v>47</v>
      </c>
      <c r="DC3" s="380" t="s">
        <v>8</v>
      </c>
      <c r="DD3" s="380"/>
      <c r="DE3" s="380"/>
      <c r="DF3" s="380"/>
      <c r="DG3" s="380"/>
      <c r="DH3" s="380"/>
      <c r="DI3" s="380"/>
      <c r="DJ3" s="380"/>
      <c r="DK3" s="380"/>
      <c r="DL3" s="380"/>
      <c r="DM3" s="380"/>
      <c r="DN3" s="380"/>
      <c r="DO3" s="323" t="s">
        <v>47</v>
      </c>
      <c r="DP3" s="380" t="s">
        <v>9</v>
      </c>
      <c r="DQ3" s="380"/>
      <c r="DR3" s="380"/>
      <c r="DS3" s="380"/>
      <c r="DT3" s="380"/>
      <c r="DU3" s="380"/>
      <c r="DV3" s="380"/>
      <c r="DW3" s="380"/>
      <c r="DX3" s="380"/>
      <c r="DY3" s="380"/>
      <c r="DZ3" s="380"/>
      <c r="EA3" s="380"/>
      <c r="EB3" s="325" t="s">
        <v>47</v>
      </c>
    </row>
    <row r="4" spans="1:132" s="326" customFormat="1" ht="36" customHeight="1">
      <c r="A4" s="371" t="s">
        <v>122</v>
      </c>
      <c r="B4" s="372"/>
      <c r="C4" s="210"/>
      <c r="D4" s="210"/>
      <c r="E4" s="211">
        <f>E5+E8</f>
        <v>683.19999999999993</v>
      </c>
      <c r="F4" s="211">
        <f>F5+F8</f>
        <v>735.19999999999993</v>
      </c>
      <c r="G4" s="211">
        <f>G5+G8</f>
        <v>799.19999999999993</v>
      </c>
      <c r="H4" s="211">
        <f>H5+H8</f>
        <v>863.99999999999989</v>
      </c>
      <c r="I4" s="211">
        <f t="shared" ref="I4:N4" si="10">I5+I8</f>
        <v>887.29599999999982</v>
      </c>
      <c r="J4" s="211">
        <f>J5+J8</f>
        <v>964.73574399999984</v>
      </c>
      <c r="K4" s="211">
        <f>K5+K8</f>
        <v>1023.7236508159999</v>
      </c>
      <c r="L4" s="211">
        <f t="shared" si="10"/>
        <v>1029.2086392276478</v>
      </c>
      <c r="M4" s="211">
        <f t="shared" si="10"/>
        <v>1020.0358331839485</v>
      </c>
      <c r="N4" s="212">
        <f t="shared" si="10"/>
        <v>996.09414902430285</v>
      </c>
      <c r="O4" s="213">
        <f>SUM(F4:N4)</f>
        <v>8319.4940162518997</v>
      </c>
      <c r="P4" s="214">
        <f t="shared" ref="P4:AA4" si="11">P5+P8</f>
        <v>1050.0777240201608</v>
      </c>
      <c r="Q4" s="211">
        <f>Q5+Q8</f>
        <v>1045.5240709912132</v>
      </c>
      <c r="R4" s="211">
        <f>R5+R8</f>
        <v>1058.7844396546263</v>
      </c>
      <c r="S4" s="211">
        <f t="shared" si="11"/>
        <v>1091.6094153874051</v>
      </c>
      <c r="T4" s="211">
        <f t="shared" si="11"/>
        <v>1096.0198670180712</v>
      </c>
      <c r="U4" s="211">
        <f t="shared" si="11"/>
        <v>1097.8671319384025</v>
      </c>
      <c r="V4" s="211">
        <f t="shared" si="11"/>
        <v>1106.0460480566815</v>
      </c>
      <c r="W4" s="211">
        <f t="shared" si="11"/>
        <v>1168.3223442785843</v>
      </c>
      <c r="X4" s="211">
        <f t="shared" si="11"/>
        <v>1177.0944175402767</v>
      </c>
      <c r="Y4" s="211">
        <f t="shared" si="11"/>
        <v>1173.5419240912865</v>
      </c>
      <c r="Z4" s="211">
        <f t="shared" si="11"/>
        <v>1185.3208728999091</v>
      </c>
      <c r="AA4" s="212">
        <f t="shared" si="11"/>
        <v>1181.4640006026125</v>
      </c>
      <c r="AB4" s="213">
        <f>SUM(P4:AA4)</f>
        <v>13431.672256479229</v>
      </c>
      <c r="AC4" s="214">
        <f>AC5+AC8</f>
        <v>1194.5498325803158</v>
      </c>
      <c r="AD4" s="211">
        <f>AD5+AD8</f>
        <v>1206.3514887748443</v>
      </c>
      <c r="AE4" s="211">
        <f t="shared" ref="AE4:AN4" si="12">AE5+AE8</f>
        <v>1224.916483690175</v>
      </c>
      <c r="AF4" s="211">
        <f t="shared" si="12"/>
        <v>1224.3945737936383</v>
      </c>
      <c r="AG4" s="211">
        <f t="shared" si="12"/>
        <v>1245.491974563274</v>
      </c>
      <c r="AH4" s="211">
        <f t="shared" si="12"/>
        <v>1259.4087715044329</v>
      </c>
      <c r="AI4" s="211">
        <f t="shared" si="12"/>
        <v>1260.810646958769</v>
      </c>
      <c r="AJ4" s="211">
        <f t="shared" si="12"/>
        <v>1254.9606530212943</v>
      </c>
      <c r="AK4" s="211">
        <f t="shared" si="12"/>
        <v>1261.3271088595063</v>
      </c>
      <c r="AL4" s="211">
        <f t="shared" si="12"/>
        <v>1253.0580058317046</v>
      </c>
      <c r="AM4" s="211">
        <f t="shared" si="12"/>
        <v>1241.0948596159315</v>
      </c>
      <c r="AN4" s="212">
        <f t="shared" si="12"/>
        <v>1224.774349810142</v>
      </c>
      <c r="AO4" s="215">
        <f>SUM(AC4:AN4)</f>
        <v>14851.138749004031</v>
      </c>
      <c r="AP4" s="214">
        <f t="shared" ref="AP4:BA4" si="13">AP5+AP8</f>
        <v>1241.8576988671668</v>
      </c>
      <c r="AQ4" s="211">
        <f t="shared" si="13"/>
        <v>1230.3089640090818</v>
      </c>
      <c r="AR4" s="211">
        <f t="shared" si="13"/>
        <v>1227.9875323407457</v>
      </c>
      <c r="AS4" s="211">
        <f t="shared" si="13"/>
        <v>1234.5519936441381</v>
      </c>
      <c r="AT4" s="211">
        <f t="shared" si="13"/>
        <v>1240.0735698793051</v>
      </c>
      <c r="AU4" s="211">
        <f t="shared" si="13"/>
        <v>1243.7908477937708</v>
      </c>
      <c r="AV4" s="211">
        <f t="shared" si="13"/>
        <v>1255.3705864254011</v>
      </c>
      <c r="AW4" s="211">
        <f t="shared" si="13"/>
        <v>1266.5218747276613</v>
      </c>
      <c r="AX4" s="211">
        <f t="shared" si="13"/>
        <v>1264.460565362738</v>
      </c>
      <c r="AY4" s="211">
        <f t="shared" si="13"/>
        <v>1260.0755244443167</v>
      </c>
      <c r="AZ4" s="211">
        <f t="shared" si="13"/>
        <v>1247.8527300398771</v>
      </c>
      <c r="BA4" s="212">
        <f t="shared" si="13"/>
        <v>1274.4821790284016</v>
      </c>
      <c r="BB4" s="216">
        <f>SUM(AP4:BA4)</f>
        <v>14987.334066562606</v>
      </c>
      <c r="BC4" s="214">
        <f t="shared" ref="BC4:BN4" si="14">BC5+BC8</f>
        <v>1289.7263384043506</v>
      </c>
      <c r="BD4" s="211">
        <f t="shared" si="14"/>
        <v>1276.4064638833897</v>
      </c>
      <c r="BE4" s="211">
        <f t="shared" si="14"/>
        <v>1272.3794247197045</v>
      </c>
      <c r="BF4" s="211">
        <f t="shared" si="14"/>
        <v>1277.3013860050755</v>
      </c>
      <c r="BG4" s="211">
        <f t="shared" si="14"/>
        <v>1281.2412347228878</v>
      </c>
      <c r="BH4" s="211">
        <f t="shared" si="14"/>
        <v>1283.4353090381408</v>
      </c>
      <c r="BI4" s="211">
        <f t="shared" si="14"/>
        <v>1293.5482026037294</v>
      </c>
      <c r="BJ4" s="211">
        <f t="shared" si="14"/>
        <v>1303.2869191073914</v>
      </c>
      <c r="BK4" s="211">
        <f t="shared" si="14"/>
        <v>1299.865303100418</v>
      </c>
      <c r="BL4" s="211">
        <f t="shared" si="14"/>
        <v>1294.1702868857026</v>
      </c>
      <c r="BM4" s="211">
        <f t="shared" si="14"/>
        <v>1280.6859862709318</v>
      </c>
      <c r="BN4" s="212">
        <f t="shared" si="14"/>
        <v>1306.1006047789072</v>
      </c>
      <c r="BO4" s="215">
        <f>SUM(BC4:BN4)</f>
        <v>15458.147459520629</v>
      </c>
      <c r="BP4" s="214">
        <f t="shared" ref="BP4:CA4" si="15">BP5+BP8</f>
        <v>1320.1748824020879</v>
      </c>
      <c r="BQ4" s="211">
        <f t="shared" si="15"/>
        <v>1305.7284117532106</v>
      </c>
      <c r="BR4" s="211">
        <f t="shared" si="15"/>
        <v>1300.6164605183419</v>
      </c>
      <c r="BS4" s="211">
        <f t="shared" si="15"/>
        <v>1304.4936514791632</v>
      </c>
      <c r="BT4" s="211">
        <f t="shared" si="15"/>
        <v>1307.427386374434</v>
      </c>
      <c r="BU4" s="211">
        <f t="shared" si="15"/>
        <v>1308.65257307858</v>
      </c>
      <c r="BV4" s="211">
        <f t="shared" si="15"/>
        <v>1317.8324278746722</v>
      </c>
      <c r="BW4" s="211">
        <f t="shared" si="15"/>
        <v>1326.6726280433093</v>
      </c>
      <c r="BX4" s="211">
        <f t="shared" si="15"/>
        <v>1322.3857408057067</v>
      </c>
      <c r="BY4" s="211">
        <f t="shared" si="15"/>
        <v>1315.8574683958957</v>
      </c>
      <c r="BZ4" s="211">
        <f t="shared" si="15"/>
        <v>1301.5707420652477</v>
      </c>
      <c r="CA4" s="212">
        <f t="shared" si="15"/>
        <v>1326.2126246088335</v>
      </c>
      <c r="CB4" s="215">
        <f>SUM(BP4:CA4)</f>
        <v>15757.624997399482</v>
      </c>
      <c r="CC4" s="214">
        <f t="shared" ref="CC4:CN4" si="16">CC5+CC8</f>
        <v>1339.5427574983066</v>
      </c>
      <c r="CD4" s="211">
        <f t="shared" si="16"/>
        <v>1324.3796754708694</v>
      </c>
      <c r="CE4" s="211">
        <f t="shared" si="16"/>
        <v>1318.5776274784473</v>
      </c>
      <c r="CF4" s="211">
        <f t="shared" si="16"/>
        <v>1321.7902552617447</v>
      </c>
      <c r="CG4" s="211">
        <f t="shared" si="16"/>
        <v>1324.0840158170602</v>
      </c>
      <c r="CH4" s="211">
        <f t="shared" si="16"/>
        <v>1324.6929072318289</v>
      </c>
      <c r="CI4" s="211">
        <f t="shared" si="16"/>
        <v>1333.2792696642512</v>
      </c>
      <c r="CJ4" s="211">
        <f t="shared" si="16"/>
        <v>1341.5479366866737</v>
      </c>
      <c r="CK4" s="211">
        <f t="shared" si="16"/>
        <v>1336.7106630292667</v>
      </c>
      <c r="CL4" s="211">
        <f t="shared" si="16"/>
        <v>1329.6523684971839</v>
      </c>
      <c r="CM4" s="211">
        <f t="shared" si="16"/>
        <v>1314.8552308627884</v>
      </c>
      <c r="CN4" s="212">
        <f t="shared" si="16"/>
        <v>1339.0055873208651</v>
      </c>
      <c r="CO4" s="215">
        <f>SUM(CC4:CN4)</f>
        <v>15948.118294819285</v>
      </c>
      <c r="CP4" s="214">
        <f t="shared" ref="CP4:DA4" si="17">CP5+CP8</f>
        <v>1351.8623805899933</v>
      </c>
      <c r="CQ4" s="211">
        <f t="shared" si="17"/>
        <v>1336.2434725081637</v>
      </c>
      <c r="CR4" s="211">
        <f t="shared" si="17"/>
        <v>1330.0024640253616</v>
      </c>
      <c r="CS4" s="211">
        <f t="shared" si="17"/>
        <v>1332.7923728564233</v>
      </c>
      <c r="CT4" s="211">
        <f t="shared" si="17"/>
        <v>1334.6790550607357</v>
      </c>
      <c r="CU4" s="211">
        <f t="shared" si="17"/>
        <v>1334.8959300234883</v>
      </c>
      <c r="CV4" s="211">
        <f t="shared" si="17"/>
        <v>1343.1047806126192</v>
      </c>
      <c r="CW4" s="211">
        <f t="shared" si="17"/>
        <v>1351.0099037299522</v>
      </c>
      <c r="CX4" s="211">
        <f t="shared" si="17"/>
        <v>1345.8225372919437</v>
      </c>
      <c r="CY4" s="211">
        <f t="shared" si="17"/>
        <v>1338.4271034121418</v>
      </c>
      <c r="CZ4" s="211">
        <f t="shared" si="17"/>
        <v>1323.3053005858926</v>
      </c>
      <c r="DA4" s="212">
        <f t="shared" si="17"/>
        <v>1347.1430044642148</v>
      </c>
      <c r="DB4" s="215">
        <f>SUM(CP4:DA4)</f>
        <v>16069.28830516093</v>
      </c>
      <c r="DC4" s="214">
        <f t="shared" ref="DC4:DN4" si="18">DC5+DC8</f>
        <v>1359.6987132990389</v>
      </c>
      <c r="DD4" s="211">
        <f t="shared" si="18"/>
        <v>1343.7898609069746</v>
      </c>
      <c r="DE4" s="211">
        <f t="shared" si="18"/>
        <v>1337.2696360534167</v>
      </c>
      <c r="DF4" s="211">
        <f t="shared" si="18"/>
        <v>1339.7906595194402</v>
      </c>
      <c r="DG4" s="211">
        <f t="shared" si="18"/>
        <v>1341.418405117221</v>
      </c>
      <c r="DH4" s="211">
        <f t="shared" si="18"/>
        <v>1341.3859241278838</v>
      </c>
      <c r="DI4" s="211">
        <f t="shared" si="18"/>
        <v>1349.354644935152</v>
      </c>
      <c r="DJ4" s="211">
        <f t="shared" si="18"/>
        <v>1357.0285230725513</v>
      </c>
      <c r="DK4" s="211">
        <f t="shared" si="18"/>
        <v>1351.6184677188667</v>
      </c>
      <c r="DL4" s="211">
        <f t="shared" si="18"/>
        <v>1344.0085844132689</v>
      </c>
      <c r="DM4" s="211">
        <f t="shared" si="18"/>
        <v>1328.6802667899778</v>
      </c>
      <c r="DN4" s="212">
        <f t="shared" si="18"/>
        <v>1352.3190969187488</v>
      </c>
      <c r="DO4" s="215">
        <f>SUM(DC4:DN4)</f>
        <v>16146.36278287254</v>
      </c>
      <c r="DP4" s="214">
        <f t="shared" ref="DP4:EA4" si="19">DP5+DP8</f>
        <v>1364.683290332755</v>
      </c>
      <c r="DQ4" s="211">
        <f t="shared" si="19"/>
        <v>1348.5900085904432</v>
      </c>
      <c r="DR4" s="211">
        <f t="shared" si="19"/>
        <v>1341.892178272597</v>
      </c>
      <c r="DS4" s="211">
        <f t="shared" si="19"/>
        <v>1344.2421676765109</v>
      </c>
      <c r="DT4" s="211">
        <f t="shared" si="19"/>
        <v>1345.70520747248</v>
      </c>
      <c r="DU4" s="211">
        <f t="shared" si="19"/>
        <v>1345.514114795998</v>
      </c>
      <c r="DV4" s="211">
        <f t="shared" si="19"/>
        <v>1353.330092548546</v>
      </c>
      <c r="DW4" s="211">
        <f t="shared" si="19"/>
        <v>1360.8568791242496</v>
      </c>
      <c r="DX4" s="211">
        <f t="shared" si="19"/>
        <v>1355.3051745966523</v>
      </c>
      <c r="DY4" s="211">
        <f t="shared" si="19"/>
        <v>1347.5588831365762</v>
      </c>
      <c r="DZ4" s="211">
        <f t="shared" si="19"/>
        <v>1332.099204460523</v>
      </c>
      <c r="EA4" s="212">
        <f t="shared" si="19"/>
        <v>1355.6115338954837</v>
      </c>
      <c r="EB4" s="217">
        <f>SUM(DP4:EA4)</f>
        <v>16195.388734902814</v>
      </c>
    </row>
    <row r="5" spans="1:132" s="329" customFormat="1" ht="24" customHeight="1">
      <c r="A5" s="327"/>
      <c r="B5" s="328" t="s">
        <v>119</v>
      </c>
      <c r="C5" s="145"/>
      <c r="D5" s="145"/>
      <c r="E5" s="146">
        <f>SUM(C6:E6)</f>
        <v>608.79999999999995</v>
      </c>
      <c r="F5" s="146">
        <f>SUM(E5,F6)</f>
        <v>660.8</v>
      </c>
      <c r="G5" s="146">
        <f>F5+G6</f>
        <v>724.8</v>
      </c>
      <c r="H5" s="146">
        <f>G5+H6</f>
        <v>789.59999999999991</v>
      </c>
      <c r="I5" s="146">
        <f>H5+I6+I7</f>
        <v>813.71439999999984</v>
      </c>
      <c r="J5" s="146">
        <f t="shared" ref="J5:K5" si="20">I5+J6+J7</f>
        <v>891.96354159999987</v>
      </c>
      <c r="K5" s="146">
        <f t="shared" si="20"/>
        <v>951.75194264239985</v>
      </c>
      <c r="L5" s="146">
        <f>K5+L6+L7</f>
        <v>960.61960133820708</v>
      </c>
      <c r="M5" s="146">
        <f t="shared" ref="M5" si="21">L5+M6+M7</f>
        <v>954.67048007531139</v>
      </c>
      <c r="N5" s="147">
        <f>M5+N6+N7</f>
        <v>933.80096751177177</v>
      </c>
      <c r="O5" s="148">
        <f>SUM(F5:N5)</f>
        <v>7681.7209331676895</v>
      </c>
      <c r="P5" s="149">
        <f>N5+P6+P7</f>
        <v>990.71232203871853</v>
      </c>
      <c r="Q5" s="146">
        <f>P5+Q6+Q7</f>
        <v>988.94884290289883</v>
      </c>
      <c r="R5" s="146">
        <f t="shared" ref="R5:AA5" si="22">Q5+R6+R7</f>
        <v>1004.8682472864626</v>
      </c>
      <c r="S5" s="146">
        <f t="shared" si="22"/>
        <v>1039.6881221368635</v>
      </c>
      <c r="T5" s="146">
        <f t="shared" si="22"/>
        <v>1046.0196616177996</v>
      </c>
      <c r="U5" s="146">
        <f t="shared" si="22"/>
        <v>1049.7169341379411</v>
      </c>
      <c r="V5" s="146">
        <f t="shared" si="22"/>
        <v>1059.6774075748372</v>
      </c>
      <c r="W5" s="146">
        <f t="shared" si="22"/>
        <v>1123.6693434945682</v>
      </c>
      <c r="X5" s="146">
        <f t="shared" si="22"/>
        <v>1134.0935777852692</v>
      </c>
      <c r="Y5" s="146">
        <f t="shared" si="22"/>
        <v>1132.1321154072143</v>
      </c>
      <c r="Z5" s="146">
        <f t="shared" si="22"/>
        <v>1145.4432271371475</v>
      </c>
      <c r="AA5" s="147">
        <f t="shared" si="22"/>
        <v>1143.061827733073</v>
      </c>
      <c r="AB5" s="148">
        <f t="shared" ref="AB5:AB10" si="23">SUM(P5:AA5)</f>
        <v>12858.031629252793</v>
      </c>
      <c r="AC5" s="149">
        <f>AA5+AC6+AC7</f>
        <v>1157.5685401069493</v>
      </c>
      <c r="AD5" s="146">
        <f>AC5+AD6+AD7</f>
        <v>1170.7385041229923</v>
      </c>
      <c r="AE5" s="146">
        <f t="shared" ref="AE5:AN5" si="24">AD5+AE6+AE7</f>
        <v>1190.6211794704416</v>
      </c>
      <c r="AF5" s="146">
        <f t="shared" si="24"/>
        <v>1191.3681958300351</v>
      </c>
      <c r="AG5" s="146">
        <f t="shared" si="24"/>
        <v>1213.687572584324</v>
      </c>
      <c r="AH5" s="146">
        <f t="shared" si="24"/>
        <v>1228.7811323987041</v>
      </c>
      <c r="AI5" s="146">
        <f t="shared" si="24"/>
        <v>1231.3162304999521</v>
      </c>
      <c r="AJ5" s="146">
        <f t="shared" si="24"/>
        <v>1226.5575299714537</v>
      </c>
      <c r="AK5" s="146">
        <f t="shared" si="24"/>
        <v>1233.9749013625099</v>
      </c>
      <c r="AL5" s="146">
        <f t="shared" si="24"/>
        <v>1226.717830012097</v>
      </c>
      <c r="AM5" s="146">
        <f t="shared" si="24"/>
        <v>1215.7292703016494</v>
      </c>
      <c r="AN5" s="147">
        <f t="shared" si="24"/>
        <v>1200.3472873004882</v>
      </c>
      <c r="AO5" s="150">
        <f t="shared" ref="AO5:AO10" si="25">SUM(AC5:AN5)</f>
        <v>14487.408173961598</v>
      </c>
      <c r="AP5" s="149">
        <f>AN5+AP6+AP7</f>
        <v>1218.3344376703703</v>
      </c>
      <c r="AQ5" s="146">
        <f>AP5+AQ6+AQ7</f>
        <v>1207.6560634765667</v>
      </c>
      <c r="AR5" s="146">
        <f t="shared" ref="AR5:BA5" si="26">AQ5+AR6+AR7</f>
        <v>1206.1727891279338</v>
      </c>
      <c r="AS5" s="146">
        <f t="shared" si="26"/>
        <v>1213.5443959302002</v>
      </c>
      <c r="AT5" s="146">
        <f t="shared" si="26"/>
        <v>1219.8432532807828</v>
      </c>
      <c r="AU5" s="146">
        <f t="shared" si="26"/>
        <v>1224.3090529093938</v>
      </c>
      <c r="AV5" s="146">
        <f t="shared" si="26"/>
        <v>1236.6096179517463</v>
      </c>
      <c r="AW5" s="146">
        <f t="shared" si="26"/>
        <v>1248.4550620875316</v>
      </c>
      <c r="AX5" s="146">
        <f t="shared" si="26"/>
        <v>1247.0622247902929</v>
      </c>
      <c r="AY5" s="146">
        <f t="shared" si="26"/>
        <v>1243.3209224730522</v>
      </c>
      <c r="AZ5" s="146">
        <f t="shared" si="26"/>
        <v>1231.7180483415493</v>
      </c>
      <c r="BA5" s="147">
        <f t="shared" si="26"/>
        <v>1258.944480552912</v>
      </c>
      <c r="BB5" s="150">
        <f t="shared" ref="BB5:BB10" si="27">SUM(AP5:BA5)</f>
        <v>14755.970348592331</v>
      </c>
      <c r="BC5" s="149">
        <f>BA5+BC6+BC7</f>
        <v>1274.7635347724542</v>
      </c>
      <c r="BD5" s="146">
        <f>BC5+BD6+BD7</f>
        <v>1261.9972839858735</v>
      </c>
      <c r="BE5" s="146">
        <f t="shared" ref="BE5:BN5" si="28">BD5+BE6+BE7</f>
        <v>1258.5033844783964</v>
      </c>
      <c r="BF5" s="146">
        <f t="shared" si="28"/>
        <v>1263.9387592526957</v>
      </c>
      <c r="BG5" s="146">
        <f t="shared" si="28"/>
        <v>1268.3730251603461</v>
      </c>
      <c r="BH5" s="146">
        <f t="shared" si="28"/>
        <v>1271.0432232294131</v>
      </c>
      <c r="BI5" s="146">
        <f t="shared" si="28"/>
        <v>1281.6146239699247</v>
      </c>
      <c r="BJ5" s="146">
        <f t="shared" si="28"/>
        <v>1291.7948828830374</v>
      </c>
      <c r="BK5" s="146">
        <f t="shared" si="28"/>
        <v>1288.7984722163651</v>
      </c>
      <c r="BL5" s="146">
        <f t="shared" si="28"/>
        <v>1283.5129287443597</v>
      </c>
      <c r="BM5" s="146">
        <f t="shared" si="28"/>
        <v>1270.4229503808185</v>
      </c>
      <c r="BN5" s="147">
        <f t="shared" si="28"/>
        <v>1296.2173012167282</v>
      </c>
      <c r="BO5" s="150">
        <f t="shared" ref="BO5:BO10" si="29">SUM(BC5:BN5)</f>
        <v>15310.980370290412</v>
      </c>
      <c r="BP5" s="149">
        <f>BN5+BP6+BP7</f>
        <v>1310.6572610717094</v>
      </c>
      <c r="BQ5" s="146">
        <f>BP5+BQ6+BQ7</f>
        <v>1296.5629424120561</v>
      </c>
      <c r="BR5" s="146">
        <f t="shared" ref="BR5:CA5" si="30">BQ5+BR6+BR7</f>
        <v>1291.7901135428101</v>
      </c>
      <c r="BS5" s="146">
        <f t="shared" si="30"/>
        <v>1295.9938793417261</v>
      </c>
      <c r="BT5" s="146">
        <f t="shared" si="30"/>
        <v>1299.2421058060822</v>
      </c>
      <c r="BU5" s="146">
        <f t="shared" si="30"/>
        <v>1300.770147891257</v>
      </c>
      <c r="BV5" s="146">
        <f t="shared" si="30"/>
        <v>1310.2416524192804</v>
      </c>
      <c r="BW5" s="146">
        <f t="shared" si="30"/>
        <v>1319.3627112797669</v>
      </c>
      <c r="BX5" s="146">
        <f t="shared" si="30"/>
        <v>1315.3462909624154</v>
      </c>
      <c r="BY5" s="146">
        <f t="shared" si="30"/>
        <v>1309.0784781968061</v>
      </c>
      <c r="BZ5" s="146">
        <f t="shared" si="30"/>
        <v>1295.0425745035245</v>
      </c>
      <c r="CA5" s="147">
        <f t="shared" si="30"/>
        <v>1319.925999246894</v>
      </c>
      <c r="CB5" s="150">
        <f t="shared" ref="CB5:CB10" si="31">SUM(BP5:CA5)</f>
        <v>15664.01415667433</v>
      </c>
      <c r="CC5" s="149">
        <f>CA5+CC6+CC7</f>
        <v>1333.4887372747589</v>
      </c>
      <c r="CD5" s="146">
        <f>CC5+CD6+CD7</f>
        <v>1318.549653995593</v>
      </c>
      <c r="CE5" s="146">
        <f t="shared" ref="CE5:CN5" si="32">CD5+CE6+CE7</f>
        <v>1312.9633167977561</v>
      </c>
      <c r="CF5" s="146">
        <f t="shared" si="32"/>
        <v>1316.383674076239</v>
      </c>
      <c r="CG5" s="146">
        <f t="shared" si="32"/>
        <v>1318.8774781354182</v>
      </c>
      <c r="CH5" s="146">
        <f t="shared" si="32"/>
        <v>1319.6790114444077</v>
      </c>
      <c r="CI5" s="146">
        <f t="shared" si="32"/>
        <v>1328.4508880209646</v>
      </c>
      <c r="CJ5" s="146">
        <f t="shared" si="32"/>
        <v>1336.8982051641888</v>
      </c>
      <c r="CK5" s="146">
        <f t="shared" si="32"/>
        <v>1332.2329715731137</v>
      </c>
      <c r="CL5" s="146">
        <f t="shared" si="32"/>
        <v>1325.3403516249086</v>
      </c>
      <c r="CM5" s="146">
        <f t="shared" si="32"/>
        <v>1310.7027586147872</v>
      </c>
      <c r="CN5" s="147">
        <f t="shared" si="32"/>
        <v>1335.0067565460399</v>
      </c>
      <c r="CO5" s="150">
        <f t="shared" ref="CO5:CO10" si="33">SUM(CC5:CN5)</f>
        <v>15888.573803268175</v>
      </c>
      <c r="CP5" s="149">
        <f>CN5+CP6+CP7</f>
        <v>1348.0115065538366</v>
      </c>
      <c r="CQ5" s="146">
        <f>CP5+CQ6+CQ7</f>
        <v>1332.5350808113449</v>
      </c>
      <c r="CR5" s="146">
        <f t="shared" ref="CR5:DA5" si="34">CQ5+CR6+CR7</f>
        <v>1326.4312828213251</v>
      </c>
      <c r="CS5" s="146">
        <f t="shared" si="34"/>
        <v>1329.353325356936</v>
      </c>
      <c r="CT5" s="146">
        <f t="shared" si="34"/>
        <v>1331.3672523187295</v>
      </c>
      <c r="CU5" s="146">
        <f t="shared" si="34"/>
        <v>1331.7066639829363</v>
      </c>
      <c r="CV5" s="146">
        <f t="shared" si="34"/>
        <v>1340.0335174155675</v>
      </c>
      <c r="CW5" s="146">
        <f t="shared" si="34"/>
        <v>1348.0522772711915</v>
      </c>
      <c r="CX5" s="146">
        <f t="shared" si="34"/>
        <v>1342.9743430121573</v>
      </c>
      <c r="CY5" s="146">
        <f t="shared" si="34"/>
        <v>1335.6842923207075</v>
      </c>
      <c r="CZ5" s="146">
        <f t="shared" si="34"/>
        <v>1320.6639735048414</v>
      </c>
      <c r="DA5" s="147">
        <f t="shared" si="34"/>
        <v>1344.5994064851623</v>
      </c>
      <c r="DB5" s="150">
        <f t="shared" ref="DB5:DB10" si="35">SUM(CP5:DA5)</f>
        <v>16031.412921854737</v>
      </c>
      <c r="DC5" s="149">
        <f>DA5+DC6+DC7</f>
        <v>1357.2492284452114</v>
      </c>
      <c r="DD5" s="146">
        <f>DC5+DD6+DD7</f>
        <v>1341.4310069927387</v>
      </c>
      <c r="DE5" s="146">
        <f t="shared" ref="DE5:DN5" si="36">DD5+DE6+DE7</f>
        <v>1334.9980597340075</v>
      </c>
      <c r="DF5" s="146">
        <f t="shared" si="36"/>
        <v>1337.6031315238492</v>
      </c>
      <c r="DG5" s="146">
        <f t="shared" si="36"/>
        <v>1339.3118156574669</v>
      </c>
      <c r="DH5" s="146">
        <f t="shared" si="36"/>
        <v>1339.3572784781406</v>
      </c>
      <c r="DI5" s="146">
        <f t="shared" si="36"/>
        <v>1347.4010591744493</v>
      </c>
      <c r="DJ5" s="146">
        <f t="shared" si="36"/>
        <v>1355.1472199849945</v>
      </c>
      <c r="DK5" s="146">
        <f t="shared" si="36"/>
        <v>1349.8067728455496</v>
      </c>
      <c r="DL5" s="146">
        <f t="shared" si="36"/>
        <v>1342.2639222502644</v>
      </c>
      <c r="DM5" s="146">
        <f t="shared" si="36"/>
        <v>1327.0001571270047</v>
      </c>
      <c r="DN5" s="147">
        <f t="shared" si="36"/>
        <v>1350.7011513133054</v>
      </c>
      <c r="DO5" s="150">
        <f t="shared" ref="DO5:DO10" si="37">SUM(DC5:DN5)</f>
        <v>16122.270803526982</v>
      </c>
      <c r="DP5" s="149">
        <f>DN5+DP6+DP7</f>
        <v>1363.1252087147132</v>
      </c>
      <c r="DQ5" s="146">
        <f>DP5+DQ6+DQ7</f>
        <v>1347.0895759922689</v>
      </c>
      <c r="DR5" s="146">
        <f t="shared" ref="DR5:EA5" si="38">DQ5+DR6+DR7</f>
        <v>1340.4472616805551</v>
      </c>
      <c r="DS5" s="146">
        <f t="shared" si="38"/>
        <v>1342.8507129983745</v>
      </c>
      <c r="DT5" s="146">
        <f t="shared" si="38"/>
        <v>1344.3652366174347</v>
      </c>
      <c r="DU5" s="146">
        <f t="shared" si="38"/>
        <v>1344.2237228625895</v>
      </c>
      <c r="DV5" s="146">
        <f t="shared" si="38"/>
        <v>1352.0874451166735</v>
      </c>
      <c r="DW5" s="146">
        <f t="shared" si="38"/>
        <v>1359.6602096473564</v>
      </c>
      <c r="DX5" s="146">
        <f t="shared" si="38"/>
        <v>1354.1527818904042</v>
      </c>
      <c r="DY5" s="146">
        <f t="shared" si="38"/>
        <v>1346.4491289604593</v>
      </c>
      <c r="DZ5" s="146">
        <f t="shared" si="38"/>
        <v>1331.0305111889224</v>
      </c>
      <c r="EA5" s="147">
        <f t="shared" si="38"/>
        <v>1354.5823822749323</v>
      </c>
      <c r="EB5" s="151">
        <f t="shared" ref="EB5:EB8" si="39">SUM(DP5:EA5)</f>
        <v>16180.064177944681</v>
      </c>
    </row>
    <row r="6" spans="1:132" s="329" customFormat="1" ht="24" customHeight="1">
      <c r="A6" s="327"/>
      <c r="B6" s="330" t="s">
        <v>217</v>
      </c>
      <c r="C6" s="2">
        <f>334*各種シミュレーション!$J$15*各種シミュレーション!$J$4</f>
        <v>267.2</v>
      </c>
      <c r="D6" s="2">
        <f>220*各種シミュレーション!$J$15*各種シミュレーション!$J$4</f>
        <v>176</v>
      </c>
      <c r="E6" s="2">
        <f>207*各種シミュレーション!$J$15*各種シミュレーション!$J$4</f>
        <v>165.60000000000002</v>
      </c>
      <c r="F6" s="152">
        <f>65*各種シミュレーション!$J$15*各種シミュレーション!$J$4</f>
        <v>52</v>
      </c>
      <c r="G6" s="152">
        <f>80*各種シミュレーション!$J$15*各種シミュレーション!$J$4</f>
        <v>64</v>
      </c>
      <c r="H6" s="152">
        <f>81*各種シミュレーション!$J$15*各種シミュレーション!$J$4</f>
        <v>64.8</v>
      </c>
      <c r="I6" s="152">
        <f>41*各種シミュレーション!$J$15*各種シミュレーション!$J$4</f>
        <v>32.800000000000004</v>
      </c>
      <c r="J6" s="152">
        <f>109*各種シミュレーション!$J$15*各種シミュレーション!$J$4</f>
        <v>87.2</v>
      </c>
      <c r="K6" s="152">
        <f>87*各種シミュレーション!$J$15*各種シミュレーション!$J$4</f>
        <v>69.600000000000009</v>
      </c>
      <c r="L6" s="152">
        <f>67*各種シミュレーション!$J$15*各種シミュレーション!$J$4</f>
        <v>53.6</v>
      </c>
      <c r="M6" s="152">
        <f>49*各種シミュレーション!$J$15*各種シミュレーション!$J$4</f>
        <v>39.200000000000003</v>
      </c>
      <c r="N6" s="153">
        <f>30*各種シミュレーション!$J$15*各種シミュレーション!$J$4</f>
        <v>24</v>
      </c>
      <c r="O6" s="154">
        <f>SUM(F6:N6)</f>
        <v>487.20000000000005</v>
      </c>
      <c r="P6" s="155">
        <f>126*各種シミュレーション!$J$15*各種シミュレーション!$J$4</f>
        <v>100.80000000000001</v>
      </c>
      <c r="Q6" s="152">
        <f>56*各種シミュレーション!$J$15*各種シミュレーション!$J$4</f>
        <v>44.800000000000004</v>
      </c>
      <c r="R6" s="152">
        <f>78*各種シミュレーション!$J$15*各種シミュレーション!$J$4</f>
        <v>62.400000000000006</v>
      </c>
      <c r="S6" s="152">
        <v>72</v>
      </c>
      <c r="T6" s="152">
        <f>56*各種シミュレーション!$J$15*各種シミュレーション!$J$4</f>
        <v>44.800000000000004</v>
      </c>
      <c r="U6" s="152">
        <f>53*各種シミュレーション!$J$15*各種シミュレーション!$J$4</f>
        <v>42.400000000000006</v>
      </c>
      <c r="V6" s="152">
        <f>61*各種シミュレーション!$J$15*各種シミュレーション!$J$4</f>
        <v>48.800000000000004</v>
      </c>
      <c r="W6" s="152">
        <f>129*各種シミュレーション!$J$15*各種シミュレーション!$J$4</f>
        <v>103.2</v>
      </c>
      <c r="X6" s="152">
        <f>65*各種シミュレーション!$J$15*各種シミュレーション!$J$4</f>
        <v>52</v>
      </c>
      <c r="Y6" s="152">
        <f>50*各種シミュレーション!$J$15*各種シミュレーション!$J$4</f>
        <v>40</v>
      </c>
      <c r="Z6" s="152">
        <f>69*各種シミュレーション!$J$15*各種シミュレーション!$J$4</f>
        <v>55.2</v>
      </c>
      <c r="AA6" s="153">
        <f>50*各種シミュレーション!$J$15*各種シミュレーション!$J$4</f>
        <v>40</v>
      </c>
      <c r="AB6" s="154">
        <f>SUM(P6:AA6)</f>
        <v>706.40000000000009</v>
      </c>
      <c r="AC6" s="155">
        <f>71*各種シミュレーション!$J$15*各種シミュレーション!$J$4</f>
        <v>56.800000000000004</v>
      </c>
      <c r="AD6" s="152">
        <f>70*各種シミュレーション!$J$15*各種シミュレーション!$J$4</f>
        <v>56</v>
      </c>
      <c r="AE6" s="152">
        <f>79*各種シミュレーション!$J$15*各種シミュレーション!$J$4</f>
        <v>63.2</v>
      </c>
      <c r="AF6" s="152">
        <f>56*各種シミュレーション!$J$15*各種シミュレーション!$J$4</f>
        <v>44.800000000000004</v>
      </c>
      <c r="AG6" s="152">
        <f>83*各種シミュレーション!$J$15*各種シミュレーション!$J$4</f>
        <v>66.400000000000006</v>
      </c>
      <c r="AH6" s="152">
        <f>75*各種シミュレーション!$J$15*各種シミュレーション!$J$4</f>
        <v>60</v>
      </c>
      <c r="AI6" s="152">
        <f>60*各種シミュレーション!$J$15*各種シミュレーション!$J$4</f>
        <v>48</v>
      </c>
      <c r="AJ6" s="152">
        <f>51*各種シミュレーション!$J$15*各種シミュレーション!$J$4</f>
        <v>40.800000000000004</v>
      </c>
      <c r="AK6" s="152">
        <f>66*各種シミュレーション!$J$15*各種シミュレーション!$J$4</f>
        <v>52.800000000000004</v>
      </c>
      <c r="AL6" s="152">
        <f>48*各種シミュレーション!$J$15*各種シミュレーション!$J$4</f>
        <v>38.400000000000006</v>
      </c>
      <c r="AM6" s="152">
        <f>43*各種シミュレーション!$J$15*各種シミュレーション!$J$4</f>
        <v>34.4</v>
      </c>
      <c r="AN6" s="153">
        <f>37*各種シミュレーション!$J$15*各種シミュレーション!$J$4</f>
        <v>29.6</v>
      </c>
      <c r="AO6" s="5">
        <f>SUM(AC6:AN6)</f>
        <v>591.20000000000005</v>
      </c>
      <c r="AP6" s="155">
        <f>78*各種シミュレーション!$J$15*各種シミュレーション!$J$4</f>
        <v>62.400000000000006</v>
      </c>
      <c r="AQ6" s="152">
        <f>43*各種シミュレーション!$J$15*各種シミュレーション!$J$4</f>
        <v>34.4</v>
      </c>
      <c r="AR6" s="152">
        <f>54*各種シミュレーション!$J$15*各種シミュレーション!$J$4</f>
        <v>43.2</v>
      </c>
      <c r="AS6" s="152">
        <f>65*各種シミュレーション!$J$4</f>
        <v>52</v>
      </c>
      <c r="AT6" s="152">
        <f>64*各種シミュレーション!$J$4</f>
        <v>51.2</v>
      </c>
      <c r="AU6" s="152">
        <f>62*各種シミュレーション!$J$4</f>
        <v>49.6</v>
      </c>
      <c r="AV6" s="152">
        <f>72*各種シミュレーション!$J$4</f>
        <v>57.6</v>
      </c>
      <c r="AW6" s="152">
        <f>72*各種シミュレーション!$J$4</f>
        <v>57.6</v>
      </c>
      <c r="AX6" s="152">
        <f>56*各種シミュレーション!$J$4</f>
        <v>44.800000000000004</v>
      </c>
      <c r="AY6" s="152">
        <f>53*各種シミュレーション!$J$4</f>
        <v>42.400000000000006</v>
      </c>
      <c r="AZ6" s="152">
        <f>43*各種シミュレーション!$J$4</f>
        <v>34.4</v>
      </c>
      <c r="BA6" s="153">
        <f>91*各種シミュレーション!$J$4</f>
        <v>72.8</v>
      </c>
      <c r="BB6" s="5">
        <f t="shared" si="27"/>
        <v>602.4</v>
      </c>
      <c r="BC6" s="155">
        <f>78*各種シミュレーション!$J$15*各種シミュレーション!$J$4</f>
        <v>62.400000000000006</v>
      </c>
      <c r="BD6" s="152">
        <f>43*各種シミュレーション!$J$15*各種シミュレーション!$J$4</f>
        <v>34.4</v>
      </c>
      <c r="BE6" s="152">
        <f>54*各種シミュレーション!$J$15*各種シミュレーション!$J$4</f>
        <v>43.2</v>
      </c>
      <c r="BF6" s="152">
        <f>65*各種シミュレーション!$J$4</f>
        <v>52</v>
      </c>
      <c r="BG6" s="152">
        <f>64*各種シミュレーション!$J$4</f>
        <v>51.2</v>
      </c>
      <c r="BH6" s="152">
        <f>62*各種シミュレーション!$J$4</f>
        <v>49.6</v>
      </c>
      <c r="BI6" s="152">
        <f>72*各種シミュレーション!$J$4</f>
        <v>57.6</v>
      </c>
      <c r="BJ6" s="152">
        <f>72*各種シミュレーション!$J$4</f>
        <v>57.6</v>
      </c>
      <c r="BK6" s="152">
        <f>56*各種シミュレーション!$J$4</f>
        <v>44.800000000000004</v>
      </c>
      <c r="BL6" s="152">
        <f>53*各種シミュレーション!$J$4</f>
        <v>42.400000000000006</v>
      </c>
      <c r="BM6" s="152">
        <f>43*各種シミュレーション!$J$4</f>
        <v>34.4</v>
      </c>
      <c r="BN6" s="153">
        <f>91*各種シミュレーション!$J$4</f>
        <v>72.8</v>
      </c>
      <c r="BO6" s="5">
        <f>SUM(BC6:BN6)</f>
        <v>602.4</v>
      </c>
      <c r="BP6" s="155">
        <f>78*各種シミュレーション!$J$15*各種シミュレーション!$J$4</f>
        <v>62.400000000000006</v>
      </c>
      <c r="BQ6" s="152">
        <f>43*各種シミュレーション!$J$15*各種シミュレーション!$J$4</f>
        <v>34.4</v>
      </c>
      <c r="BR6" s="152">
        <f>54*各種シミュレーション!$J$15*各種シミュレーション!$J$4</f>
        <v>43.2</v>
      </c>
      <c r="BS6" s="152">
        <f>65*各種シミュレーション!$J$4</f>
        <v>52</v>
      </c>
      <c r="BT6" s="152">
        <f>64*各種シミュレーション!$J$4</f>
        <v>51.2</v>
      </c>
      <c r="BU6" s="152">
        <f>62*各種シミュレーション!$J$4</f>
        <v>49.6</v>
      </c>
      <c r="BV6" s="152">
        <f>72*各種シミュレーション!$J$4</f>
        <v>57.6</v>
      </c>
      <c r="BW6" s="152">
        <f>72*各種シミュレーション!$J$4</f>
        <v>57.6</v>
      </c>
      <c r="BX6" s="152">
        <f>56*各種シミュレーション!$J$4</f>
        <v>44.800000000000004</v>
      </c>
      <c r="BY6" s="152">
        <f>53*各種シミュレーション!$J$4</f>
        <v>42.400000000000006</v>
      </c>
      <c r="BZ6" s="152">
        <f>43*各種シミュレーション!$J$4</f>
        <v>34.4</v>
      </c>
      <c r="CA6" s="153">
        <f>91*各種シミュレーション!$J$4</f>
        <v>72.8</v>
      </c>
      <c r="CB6" s="5">
        <f t="shared" si="31"/>
        <v>602.4</v>
      </c>
      <c r="CC6" s="155">
        <f>78*各種シミュレーション!$J$15*各種シミュレーション!$J$4</f>
        <v>62.400000000000006</v>
      </c>
      <c r="CD6" s="152">
        <f>43*各種シミュレーション!$J$15*各種シミュレーション!$J$4</f>
        <v>34.4</v>
      </c>
      <c r="CE6" s="152">
        <f>54*各種シミュレーション!$J$15*各種シミュレーション!$J$4</f>
        <v>43.2</v>
      </c>
      <c r="CF6" s="152">
        <f>65*各種シミュレーション!$J$4</f>
        <v>52</v>
      </c>
      <c r="CG6" s="152">
        <f>64*各種シミュレーション!$J$4</f>
        <v>51.2</v>
      </c>
      <c r="CH6" s="152">
        <f>62*各種シミュレーション!$J$4</f>
        <v>49.6</v>
      </c>
      <c r="CI6" s="152">
        <f>72*各種シミュレーション!$J$4</f>
        <v>57.6</v>
      </c>
      <c r="CJ6" s="152">
        <f>72*各種シミュレーション!$J$4</f>
        <v>57.6</v>
      </c>
      <c r="CK6" s="152">
        <f>56*各種シミュレーション!$J$4</f>
        <v>44.800000000000004</v>
      </c>
      <c r="CL6" s="152">
        <f>53*各種シミュレーション!$J$4</f>
        <v>42.400000000000006</v>
      </c>
      <c r="CM6" s="152">
        <f>43*各種シミュレーション!$J$4</f>
        <v>34.4</v>
      </c>
      <c r="CN6" s="153">
        <f>91*各種シミュレーション!$J$4</f>
        <v>72.8</v>
      </c>
      <c r="CO6" s="5">
        <f t="shared" si="33"/>
        <v>602.4</v>
      </c>
      <c r="CP6" s="155">
        <f>78*各種シミュレーション!$J$15*各種シミュレーション!$J$4</f>
        <v>62.400000000000006</v>
      </c>
      <c r="CQ6" s="152">
        <f>43*各種シミュレーション!$J$15*各種シミュレーション!$J$4</f>
        <v>34.4</v>
      </c>
      <c r="CR6" s="152">
        <f>54*各種シミュレーション!$J$15*各種シミュレーション!$J$4</f>
        <v>43.2</v>
      </c>
      <c r="CS6" s="152">
        <f>65*各種シミュレーション!$J$4</f>
        <v>52</v>
      </c>
      <c r="CT6" s="152">
        <f>64*各種シミュレーション!$J$4</f>
        <v>51.2</v>
      </c>
      <c r="CU6" s="152">
        <f>62*各種シミュレーション!$J$4</f>
        <v>49.6</v>
      </c>
      <c r="CV6" s="152">
        <f>72*各種シミュレーション!$J$4</f>
        <v>57.6</v>
      </c>
      <c r="CW6" s="152">
        <f>72*各種シミュレーション!$J$4</f>
        <v>57.6</v>
      </c>
      <c r="CX6" s="152">
        <f>56*各種シミュレーション!$J$4</f>
        <v>44.800000000000004</v>
      </c>
      <c r="CY6" s="152">
        <f>53*各種シミュレーション!$J$4</f>
        <v>42.400000000000006</v>
      </c>
      <c r="CZ6" s="152">
        <f>43*各種シミュレーション!$J$4</f>
        <v>34.4</v>
      </c>
      <c r="DA6" s="153">
        <f>91*各種シミュレーション!$J$4</f>
        <v>72.8</v>
      </c>
      <c r="DB6" s="5">
        <f t="shared" si="35"/>
        <v>602.4</v>
      </c>
      <c r="DC6" s="155">
        <f>78*各種シミュレーション!$J$15*各種シミュレーション!$J$4</f>
        <v>62.400000000000006</v>
      </c>
      <c r="DD6" s="152">
        <f>43*各種シミュレーション!$J$15*各種シミュレーション!$J$4</f>
        <v>34.4</v>
      </c>
      <c r="DE6" s="152">
        <f>54*各種シミュレーション!$J$15*各種シミュレーション!$J$4</f>
        <v>43.2</v>
      </c>
      <c r="DF6" s="152">
        <f>65*各種シミュレーション!$J$4</f>
        <v>52</v>
      </c>
      <c r="DG6" s="152">
        <f>64*各種シミュレーション!$J$4</f>
        <v>51.2</v>
      </c>
      <c r="DH6" s="152">
        <f>62*各種シミュレーション!$J$4</f>
        <v>49.6</v>
      </c>
      <c r="DI6" s="152">
        <f>72*各種シミュレーション!$J$4</f>
        <v>57.6</v>
      </c>
      <c r="DJ6" s="152">
        <f>72*各種シミュレーション!$J$4</f>
        <v>57.6</v>
      </c>
      <c r="DK6" s="152">
        <f>56*各種シミュレーション!$J$4</f>
        <v>44.800000000000004</v>
      </c>
      <c r="DL6" s="152">
        <f>53*各種シミュレーション!$J$4</f>
        <v>42.400000000000006</v>
      </c>
      <c r="DM6" s="152">
        <f>43*各種シミュレーション!$J$4</f>
        <v>34.4</v>
      </c>
      <c r="DN6" s="153">
        <f>91*各種シミュレーション!$J$4</f>
        <v>72.8</v>
      </c>
      <c r="DO6" s="5">
        <f t="shared" si="37"/>
        <v>602.4</v>
      </c>
      <c r="DP6" s="155">
        <f>78*各種シミュレーション!$J$15*各種シミュレーション!$J$4</f>
        <v>62.400000000000006</v>
      </c>
      <c r="DQ6" s="152">
        <f>43*各種シミュレーション!$J$15*各種シミュレーション!$J$4</f>
        <v>34.4</v>
      </c>
      <c r="DR6" s="152">
        <f>54*各種シミュレーション!$J$15*各種シミュレーション!$J$4</f>
        <v>43.2</v>
      </c>
      <c r="DS6" s="152">
        <f>65*各種シミュレーション!$J$4</f>
        <v>52</v>
      </c>
      <c r="DT6" s="152">
        <f>64*各種シミュレーション!$J$4</f>
        <v>51.2</v>
      </c>
      <c r="DU6" s="152">
        <f>62*各種シミュレーション!$J$4</f>
        <v>49.6</v>
      </c>
      <c r="DV6" s="152">
        <f>72*各種シミュレーション!$J$4</f>
        <v>57.6</v>
      </c>
      <c r="DW6" s="152">
        <f>72*各種シミュレーション!$J$4</f>
        <v>57.6</v>
      </c>
      <c r="DX6" s="152">
        <f>56*各種シミュレーション!$J$4</f>
        <v>44.800000000000004</v>
      </c>
      <c r="DY6" s="152">
        <f>53*各種シミュレーション!$J$4</f>
        <v>42.400000000000006</v>
      </c>
      <c r="DZ6" s="152">
        <f>43*各種シミュレーション!$J$4</f>
        <v>34.4</v>
      </c>
      <c r="EA6" s="153">
        <f>91*各種シミュレーション!$J$4</f>
        <v>72.8</v>
      </c>
      <c r="EB6" s="6">
        <f t="shared" si="39"/>
        <v>602.4</v>
      </c>
    </row>
    <row r="7" spans="1:132" s="329" customFormat="1" ht="24" customHeight="1">
      <c r="A7" s="327"/>
      <c r="B7" s="330" t="s">
        <v>218</v>
      </c>
      <c r="C7" s="156"/>
      <c r="D7" s="156"/>
      <c r="E7" s="157"/>
      <c r="F7" s="2"/>
      <c r="G7" s="2"/>
      <c r="H7" s="2"/>
      <c r="I7" s="152">
        <f>-ABS(H5*各種シミュレーション!$J$9)</f>
        <v>-8.6855999999999991</v>
      </c>
      <c r="J7" s="152">
        <f>-ABS(I5*各種シミュレーション!$J$9)</f>
        <v>-8.9508583999999978</v>
      </c>
      <c r="K7" s="152">
        <f>-ABS(J5*各種シミュレーション!$J$9)</f>
        <v>-9.8115989575999976</v>
      </c>
      <c r="L7" s="152">
        <f>-ABS(K5*各種シミュレーション!$J$8)</f>
        <v>-44.732341304192794</v>
      </c>
      <c r="M7" s="152">
        <f>-ABS(L5*各種シミュレーション!$J$8)</f>
        <v>-45.149121262895733</v>
      </c>
      <c r="N7" s="153">
        <f>-ABS(M5*各種シミュレーション!$J$8)</f>
        <v>-44.869512563539637</v>
      </c>
      <c r="O7" s="154">
        <f t="shared" ref="O7" si="40">SUM(F7:N7)</f>
        <v>-162.19903248822817</v>
      </c>
      <c r="P7" s="155">
        <f>-ABS(N5*各種シミュレーション!$J$8)</f>
        <v>-43.888645473053273</v>
      </c>
      <c r="Q7" s="152">
        <f>-ABS(P5*各種シミュレーション!$J$8)</f>
        <v>-46.563479135819769</v>
      </c>
      <c r="R7" s="152">
        <f>-ABS(Q5*各種シミュレーション!$J$8)</f>
        <v>-46.480595616436247</v>
      </c>
      <c r="S7" s="152">
        <f>-ABS(R5*各種シミュレーション!$J$7)</f>
        <v>-37.180125149599114</v>
      </c>
      <c r="T7" s="152">
        <f>-ABS(S5*各種シミュレーション!$J$7)</f>
        <v>-38.468460519063946</v>
      </c>
      <c r="U7" s="152">
        <f>-ABS(T5*各種シミュレーション!$J$7)</f>
        <v>-38.702727479858581</v>
      </c>
      <c r="V7" s="152">
        <f>-ABS(U5*各種シミュレーション!$J$7)</f>
        <v>-38.839526563103817</v>
      </c>
      <c r="W7" s="152">
        <f>-ABS(V5*各種シミュレーション!$J$7)</f>
        <v>-39.208064080268976</v>
      </c>
      <c r="X7" s="152">
        <f>-ABS(W5*各種シミュレーション!$J$7)</f>
        <v>-41.57576570929902</v>
      </c>
      <c r="Y7" s="152">
        <f>-ABS(X5*各種シミュレーション!$J$7)</f>
        <v>-41.961462378054961</v>
      </c>
      <c r="Z7" s="152">
        <f>-ABS(Y5*各種シミュレーション!$J$7)</f>
        <v>-41.888888270066928</v>
      </c>
      <c r="AA7" s="153">
        <f>-ABS(Z5*各種シミュレーション!$J$7)</f>
        <v>-42.38139940407445</v>
      </c>
      <c r="AB7" s="154">
        <f t="shared" si="23"/>
        <v>-497.13913977869908</v>
      </c>
      <c r="AC7" s="155">
        <f>-ABS(AA5*各種シミュレーション!$J$7)</f>
        <v>-42.2932876261237</v>
      </c>
      <c r="AD7" s="152">
        <f>-ABS(AC5*各種シミュレーション!$J$7)</f>
        <v>-42.830035983957124</v>
      </c>
      <c r="AE7" s="152">
        <f>-ABS(AD5*各種シミュレーション!$J$7)</f>
        <v>-43.31732465255071</v>
      </c>
      <c r="AF7" s="152">
        <f>-ABS(AE5*各種シミュレーション!$J$7)</f>
        <v>-44.052983640406339</v>
      </c>
      <c r="AG7" s="152">
        <f>-ABS(AF5*各種シミュレーション!$J$7)</f>
        <v>-44.080623245711294</v>
      </c>
      <c r="AH7" s="152">
        <f>-ABS(AG5*各種シミュレーション!$J$7)</f>
        <v>-44.906440185619985</v>
      </c>
      <c r="AI7" s="152">
        <f>-ABS(AH5*各種シミュレーション!$J$7)</f>
        <v>-45.464901898752053</v>
      </c>
      <c r="AJ7" s="152">
        <f>-ABS(AI5*各種シミュレーション!$J$7)</f>
        <v>-45.558700528498228</v>
      </c>
      <c r="AK7" s="152">
        <f>-ABS(AJ5*各種シミュレーション!$J$7)</f>
        <v>-45.382628608943783</v>
      </c>
      <c r="AL7" s="152">
        <f>-ABS(AK5*各種シミュレーション!$J$7)</f>
        <v>-45.657071350412863</v>
      </c>
      <c r="AM7" s="152">
        <f>-ABS(AL5*各種シミュレーション!$J$7)</f>
        <v>-45.388559710447588</v>
      </c>
      <c r="AN7" s="153">
        <f>-ABS(AM5*各種シミュレーション!$J$7)</f>
        <v>-44.981983001161026</v>
      </c>
      <c r="AO7" s="5">
        <f t="shared" si="25"/>
        <v>-533.91454043258466</v>
      </c>
      <c r="AP7" s="155">
        <f>-ABS(AN5*各種シミュレーション!$J$7)</f>
        <v>-44.41284963011806</v>
      </c>
      <c r="AQ7" s="152">
        <f>-ABS(AP5*各種シミュレーション!$J$7)</f>
        <v>-45.078374193803697</v>
      </c>
      <c r="AR7" s="152">
        <f>-ABS(AQ5*各種シミュレーション!$J$7)</f>
        <v>-44.683274348632963</v>
      </c>
      <c r="AS7" s="152">
        <f>-ABS(AR5*各種シミュレーション!$J$7)</f>
        <v>-44.628393197733551</v>
      </c>
      <c r="AT7" s="152">
        <f>-ABS(AS5*各種シミュレーション!$J$7)</f>
        <v>-44.901142649417402</v>
      </c>
      <c r="AU7" s="152">
        <f>-ABS(AT5*各種シミュレーション!$J$7)</f>
        <v>-45.134200371388964</v>
      </c>
      <c r="AV7" s="152">
        <f>-ABS(AU5*各種シミュレーション!$J$7)</f>
        <v>-45.29943495764757</v>
      </c>
      <c r="AW7" s="152">
        <f>-ABS(AV5*各種シミュレーション!$J$7)</f>
        <v>-45.754555864214609</v>
      </c>
      <c r="AX7" s="152">
        <f>-ABS(AW5*各種シミュレーション!$J$7)</f>
        <v>-46.192837297238668</v>
      </c>
      <c r="AY7" s="152">
        <f>-ABS(AX5*各種シミュレーション!$J$7)</f>
        <v>-46.141302317240836</v>
      </c>
      <c r="AZ7" s="152">
        <f>-ABS(AY5*各種シミュレーション!$J$7)</f>
        <v>-46.002874131502928</v>
      </c>
      <c r="BA7" s="153">
        <f>-ABS(AZ5*各種シミュレーション!$J$7)</f>
        <v>-45.57356778863732</v>
      </c>
      <c r="BB7" s="5">
        <f t="shared" si="27"/>
        <v>-543.8028067475766</v>
      </c>
      <c r="BC7" s="155">
        <f>-ABS(BA5*各種シミュレーション!$J$7)</f>
        <v>-46.580945780457739</v>
      </c>
      <c r="BD7" s="152">
        <f>-ABS(BC5*各種シミュレーション!$J$7)</f>
        <v>-47.166250786580804</v>
      </c>
      <c r="BE7" s="152">
        <f>-ABS(BD5*各種シミュレーション!$J$7)</f>
        <v>-46.693899507477319</v>
      </c>
      <c r="BF7" s="152">
        <f>-ABS(BE5*各種シミュレーション!$J$7)</f>
        <v>-46.564625225700659</v>
      </c>
      <c r="BG7" s="152">
        <f>-ABS(BF5*各種シミュレーション!$J$7)</f>
        <v>-46.765734092349739</v>
      </c>
      <c r="BH7" s="152">
        <f>-ABS(BG5*各種シミュレーション!$J$7)</f>
        <v>-46.929801930932804</v>
      </c>
      <c r="BI7" s="152">
        <f>-ABS(BH5*各種シミュレーション!$J$7)</f>
        <v>-47.028599259488281</v>
      </c>
      <c r="BJ7" s="152">
        <f>-ABS(BI5*各種シミュレーション!$J$7)</f>
        <v>-47.419741086887207</v>
      </c>
      <c r="BK7" s="152">
        <f>-ABS(BJ5*各種シミュレーション!$J$7)</f>
        <v>-47.796410666672379</v>
      </c>
      <c r="BL7" s="152">
        <f>-ABS(BK5*各種シミュレーション!$J$7)</f>
        <v>-47.685543472005506</v>
      </c>
      <c r="BM7" s="152">
        <f>-ABS(BL5*各種シミュレーション!$J$7)</f>
        <v>-47.489978363541304</v>
      </c>
      <c r="BN7" s="153">
        <f>-ABS(BM5*各種シミュレーション!$J$7)</f>
        <v>-47.005649164090286</v>
      </c>
      <c r="BO7" s="5">
        <f>SUM(BC7:BN7)</f>
        <v>-565.1271793361841</v>
      </c>
      <c r="BP7" s="155">
        <f>-ABS(BN5*各種シミュレーション!$J$7)</f>
        <v>-47.960040145018937</v>
      </c>
      <c r="BQ7" s="152">
        <f>-ABS(BP5*各種シミュレーション!$J$7)</f>
        <v>-48.494318659653246</v>
      </c>
      <c r="BR7" s="152">
        <f>-ABS(BQ5*各種シミュレーション!$J$7)</f>
        <v>-47.972828869246072</v>
      </c>
      <c r="BS7" s="152">
        <f>-ABS(BR5*各種シミュレーション!$J$7)</f>
        <v>-47.796234201083969</v>
      </c>
      <c r="BT7" s="152">
        <f>-ABS(BS5*各種シミュレーション!$J$7)</f>
        <v>-47.951773535643866</v>
      </c>
      <c r="BU7" s="152">
        <f>-ABS(BT5*各種シミュレーション!$J$7)</f>
        <v>-48.071957914825042</v>
      </c>
      <c r="BV7" s="152">
        <f>-ABS(BU5*各種シミュレーション!$J$7)</f>
        <v>-48.128495471976507</v>
      </c>
      <c r="BW7" s="152">
        <f>-ABS(BV5*各種シミュレーション!$J$7)</f>
        <v>-48.478941139513374</v>
      </c>
      <c r="BX7" s="152">
        <f>-ABS(BW5*各種シミュレーション!$J$7)</f>
        <v>-48.816420317351373</v>
      </c>
      <c r="BY7" s="152">
        <f>-ABS(BX5*各種シミュレーション!$J$7)</f>
        <v>-48.667812765609369</v>
      </c>
      <c r="BZ7" s="152">
        <f>-ABS(BY5*各種シミュレーション!$J$7)</f>
        <v>-48.435903693281823</v>
      </c>
      <c r="CA7" s="153">
        <f>-ABS(BZ5*各種シミュレーション!$J$7)</f>
        <v>-47.916575256630402</v>
      </c>
      <c r="CB7" s="5">
        <f t="shared" si="31"/>
        <v>-578.69130196983394</v>
      </c>
      <c r="CC7" s="155">
        <f>-ABS(CA5*各種シミュレーション!$J$7)</f>
        <v>-48.837261972135074</v>
      </c>
      <c r="CD7" s="152">
        <f>-ABS(CC5*各種シミュレーション!$J$7)</f>
        <v>-49.339083279166076</v>
      </c>
      <c r="CE7" s="152">
        <f>-ABS(CD5*各種シミュレーション!$J$7)</f>
        <v>-48.786337197836936</v>
      </c>
      <c r="CF7" s="152">
        <f>-ABS(CE5*各種シミュレーション!$J$7)</f>
        <v>-48.579642721516976</v>
      </c>
      <c r="CG7" s="152">
        <f>-ABS(CF5*各種シミュレーション!$J$7)</f>
        <v>-48.706195940820841</v>
      </c>
      <c r="CH7" s="152">
        <f>-ABS(CG5*各種シミュレーション!$J$7)</f>
        <v>-48.798466691010468</v>
      </c>
      <c r="CI7" s="152">
        <f>-ABS(CH5*各種シミュレーション!$J$7)</f>
        <v>-48.828123423443081</v>
      </c>
      <c r="CJ7" s="152">
        <f>-ABS(CI5*各種シミュレーション!$J$7)</f>
        <v>-49.152682856775691</v>
      </c>
      <c r="CK7" s="152">
        <f>-ABS(CJ5*各種シミュレーション!$J$7)</f>
        <v>-49.465233591074984</v>
      </c>
      <c r="CL7" s="152">
        <f>-ABS(CK5*各種シミュレーション!$J$7)</f>
        <v>-49.292619948205207</v>
      </c>
      <c r="CM7" s="152">
        <f>-ABS(CL5*各種シミュレーション!$J$7)</f>
        <v>-49.037593010121618</v>
      </c>
      <c r="CN7" s="153">
        <f>-ABS(CM5*各種シミュレーション!$J$7)</f>
        <v>-48.496002068747124</v>
      </c>
      <c r="CO7" s="5">
        <f t="shared" si="33"/>
        <v>-587.31924270085403</v>
      </c>
      <c r="CP7" s="155">
        <f>-ABS(CN5*各種シミュレーション!$J$7)</f>
        <v>-49.395249992203475</v>
      </c>
      <c r="CQ7" s="152">
        <f>-ABS(CP5*各種シミュレーション!$J$7)</f>
        <v>-49.876425742491953</v>
      </c>
      <c r="CR7" s="152">
        <f>-ABS(CQ5*各種シミュレーション!$J$7)</f>
        <v>-49.30379799001976</v>
      </c>
      <c r="CS7" s="152">
        <f>-ABS(CR5*各種シミュレーション!$J$7)</f>
        <v>-49.07795746438903</v>
      </c>
      <c r="CT7" s="152">
        <f>-ABS(CS5*各種シミュレーション!$J$7)</f>
        <v>-49.186073038206629</v>
      </c>
      <c r="CU7" s="152">
        <f>-ABS(CT5*各種シミュレーション!$J$7)</f>
        <v>-49.260588335792988</v>
      </c>
      <c r="CV7" s="152">
        <f>-ABS(CU5*各種シミュレーション!$J$7)</f>
        <v>-49.273146567368642</v>
      </c>
      <c r="CW7" s="152">
        <f>-ABS(CV5*各種シミュレーション!$J$7)</f>
        <v>-49.581240144375997</v>
      </c>
      <c r="CX7" s="152">
        <f>-ABS(CW5*各種シミュレーション!$J$7)</f>
        <v>-49.877934259034085</v>
      </c>
      <c r="CY7" s="152">
        <f>-ABS(CX5*各種シミュレーション!$J$7)</f>
        <v>-49.690050691449819</v>
      </c>
      <c r="CZ7" s="152">
        <f>-ABS(CY5*各種シミュレーション!$J$7)</f>
        <v>-49.420318815866175</v>
      </c>
      <c r="DA7" s="153">
        <f>-ABS(CZ5*各種シミュレーション!$J$7)</f>
        <v>-48.864567019679129</v>
      </c>
      <c r="DB7" s="5">
        <f t="shared" si="35"/>
        <v>-592.80735006087775</v>
      </c>
      <c r="DC7" s="155">
        <f>-ABS(DA5*各種シミュレーション!$J$7)</f>
        <v>-49.750178039951003</v>
      </c>
      <c r="DD7" s="152">
        <f>-ABS(DC5*各種シミュレーション!$J$7)</f>
        <v>-50.218221452472818</v>
      </c>
      <c r="DE7" s="152">
        <f>-ABS(DD5*各種シミュレーション!$J$7)</f>
        <v>-49.632947258731328</v>
      </c>
      <c r="DF7" s="152">
        <f>-ABS(DE5*各種シミュレーション!$J$7)</f>
        <v>-49.394928210158277</v>
      </c>
      <c r="DG7" s="152">
        <f>-ABS(DF5*各種シミュレーション!$J$7)</f>
        <v>-49.491315866382422</v>
      </c>
      <c r="DH7" s="152">
        <f>-ABS(DG5*各種シミュレーション!$J$7)</f>
        <v>-49.554537179326275</v>
      </c>
      <c r="DI7" s="152">
        <f>-ABS(DH5*各種シミュレーション!$J$7)</f>
        <v>-49.556219303691201</v>
      </c>
      <c r="DJ7" s="152">
        <f>-ABS(DI5*各種シミュレーション!$J$7)</f>
        <v>-49.853839189454625</v>
      </c>
      <c r="DK7" s="152">
        <f>-ABS(DJ5*各種シミュレーション!$J$7)</f>
        <v>-50.140447139444795</v>
      </c>
      <c r="DL7" s="152">
        <f>-ABS(DK5*各種シミュレーション!$J$7)</f>
        <v>-49.942850595285336</v>
      </c>
      <c r="DM7" s="152">
        <f>-ABS(DL5*各種シミュレーション!$J$7)</f>
        <v>-49.663765123259779</v>
      </c>
      <c r="DN7" s="153">
        <f>-ABS(DM5*各種シミュレーション!$J$7)</f>
        <v>-49.099005813699172</v>
      </c>
      <c r="DO7" s="5">
        <f t="shared" si="37"/>
        <v>-596.29825517185702</v>
      </c>
      <c r="DP7" s="155">
        <f>-ABS(DN5*各種シミュレーション!$J$7)</f>
        <v>-49.975942598592297</v>
      </c>
      <c r="DQ7" s="152">
        <f>-ABS(DP5*各種シミュレーション!$J$7)</f>
        <v>-50.435632722444382</v>
      </c>
      <c r="DR7" s="152">
        <f>-ABS(DQ5*各種シミュレーション!$J$7)</f>
        <v>-49.842314311713949</v>
      </c>
      <c r="DS7" s="152">
        <f>-ABS(DR5*各種シミュレーション!$J$7)</f>
        <v>-49.59654868218054</v>
      </c>
      <c r="DT7" s="152">
        <f>-ABS(DS5*各種シミュレーション!$J$7)</f>
        <v>-49.685476380939853</v>
      </c>
      <c r="DU7" s="152">
        <f>-ABS(DT5*各種シミュレーション!$J$7)</f>
        <v>-49.74151375484508</v>
      </c>
      <c r="DV7" s="152">
        <f>-ABS(DU5*各種シミュレーション!$J$7)</f>
        <v>-49.736277745915807</v>
      </c>
      <c r="DW7" s="152">
        <f>-ABS(DV5*各種シミュレーション!$J$7)</f>
        <v>-50.027235469316921</v>
      </c>
      <c r="DX7" s="152">
        <f>-ABS(DW5*各種シミュレーション!$J$7)</f>
        <v>-50.307427756952187</v>
      </c>
      <c r="DY7" s="152">
        <f>-ABS(DX5*各種シミュレーション!$J$7)</f>
        <v>-50.10365292994495</v>
      </c>
      <c r="DZ7" s="152">
        <f>-ABS(DY5*各種シミュレーション!$J$7)</f>
        <v>-49.818617771536992</v>
      </c>
      <c r="EA7" s="153">
        <f>-ABS(DZ5*各種シミュレーション!$J$7)</f>
        <v>-49.248128913990129</v>
      </c>
      <c r="EB7" s="6">
        <f t="shared" si="39"/>
        <v>-598.51876903837308</v>
      </c>
    </row>
    <row r="8" spans="1:132" s="329" customFormat="1" ht="24" customHeight="1">
      <c r="A8" s="327"/>
      <c r="B8" s="328" t="s">
        <v>120</v>
      </c>
      <c r="C8" s="145"/>
      <c r="D8" s="145"/>
      <c r="E8" s="146">
        <f>SUM(C9:D9)</f>
        <v>74.400000000000006</v>
      </c>
      <c r="F8" s="146">
        <f>$E$8</f>
        <v>74.400000000000006</v>
      </c>
      <c r="G8" s="146">
        <f t="shared" ref="G8:H8" si="41">$E$8</f>
        <v>74.400000000000006</v>
      </c>
      <c r="H8" s="146">
        <f t="shared" si="41"/>
        <v>74.400000000000006</v>
      </c>
      <c r="I8" s="146">
        <f>H8+I10</f>
        <v>73.581600000000009</v>
      </c>
      <c r="J8" s="146">
        <f t="shared" ref="J8:K8" si="42">I8+J10</f>
        <v>72.772202400000012</v>
      </c>
      <c r="K8" s="146">
        <f t="shared" si="42"/>
        <v>71.971708173600007</v>
      </c>
      <c r="L8" s="146">
        <f>K8+L10</f>
        <v>68.589037889440803</v>
      </c>
      <c r="M8" s="146">
        <f t="shared" ref="M8:N8" si="43">L8+M10</f>
        <v>65.36535310863708</v>
      </c>
      <c r="N8" s="147">
        <f t="shared" si="43"/>
        <v>62.293181512531135</v>
      </c>
      <c r="O8" s="148">
        <f>SUM(F8:N8)</f>
        <v>637.77308308420902</v>
      </c>
      <c r="P8" s="149">
        <f>N8+P10</f>
        <v>59.365401981442169</v>
      </c>
      <c r="Q8" s="146">
        <f>P8+Q10</f>
        <v>56.57522808831439</v>
      </c>
      <c r="R8" s="146">
        <f>Q8+R10</f>
        <v>53.916192368163614</v>
      </c>
      <c r="S8" s="146">
        <f t="shared" ref="S8:AA8" si="44">R8+S10</f>
        <v>51.921293250541559</v>
      </c>
      <c r="T8" s="146">
        <f t="shared" si="44"/>
        <v>50.000205400271518</v>
      </c>
      <c r="U8" s="146">
        <f t="shared" si="44"/>
        <v>48.15019780046147</v>
      </c>
      <c r="V8" s="146">
        <f t="shared" si="44"/>
        <v>46.368640481844395</v>
      </c>
      <c r="W8" s="146">
        <f t="shared" si="44"/>
        <v>44.65300078401615</v>
      </c>
      <c r="X8" s="146">
        <f t="shared" si="44"/>
        <v>43.000839755007554</v>
      </c>
      <c r="Y8" s="146">
        <f t="shared" si="44"/>
        <v>41.409808684072274</v>
      </c>
      <c r="Z8" s="146">
        <f t="shared" si="44"/>
        <v>39.877645762761603</v>
      </c>
      <c r="AA8" s="147">
        <f t="shared" si="44"/>
        <v>38.40217286953942</v>
      </c>
      <c r="AB8" s="148">
        <f>SUM(P8:AA8)</f>
        <v>573.64062722643621</v>
      </c>
      <c r="AC8" s="149">
        <f>AA8+AC10</f>
        <v>36.981292473366459</v>
      </c>
      <c r="AD8" s="146">
        <f>AC8+AD10</f>
        <v>35.612984651851903</v>
      </c>
      <c r="AE8" s="146">
        <f>AD8+AE10</f>
        <v>34.295304219733382</v>
      </c>
      <c r="AF8" s="146">
        <f t="shared" ref="AF8:AN8" si="45">AE8+AF10</f>
        <v>33.026377963603245</v>
      </c>
      <c r="AG8" s="146">
        <f t="shared" si="45"/>
        <v>31.804401978949926</v>
      </c>
      <c r="AH8" s="146">
        <f t="shared" si="45"/>
        <v>30.627639105728779</v>
      </c>
      <c r="AI8" s="146">
        <f t="shared" si="45"/>
        <v>29.494416458816815</v>
      </c>
      <c r="AJ8" s="146">
        <f t="shared" si="45"/>
        <v>28.403123049840595</v>
      </c>
      <c r="AK8" s="146">
        <f t="shared" si="45"/>
        <v>27.352207496996492</v>
      </c>
      <c r="AL8" s="146">
        <f t="shared" si="45"/>
        <v>26.340175819607623</v>
      </c>
      <c r="AM8" s="146">
        <f t="shared" si="45"/>
        <v>25.36558931428214</v>
      </c>
      <c r="AN8" s="147">
        <f t="shared" si="45"/>
        <v>24.427062509653702</v>
      </c>
      <c r="AO8" s="150">
        <f t="shared" si="25"/>
        <v>363.73057504243104</v>
      </c>
      <c r="AP8" s="149">
        <f>AN8+AP10</f>
        <v>23.523261196796515</v>
      </c>
      <c r="AQ8" s="146">
        <f>AP8+AQ10</f>
        <v>22.652900532515044</v>
      </c>
      <c r="AR8" s="146">
        <f>AQ8+AR10</f>
        <v>21.814743212811987</v>
      </c>
      <c r="AS8" s="146">
        <f t="shared" ref="AS8:BA8" si="46">AR8+AS10</f>
        <v>21.007597713937944</v>
      </c>
      <c r="AT8" s="146">
        <f t="shared" si="46"/>
        <v>20.23031659852224</v>
      </c>
      <c r="AU8" s="146">
        <f t="shared" si="46"/>
        <v>19.481794884376917</v>
      </c>
      <c r="AV8" s="146">
        <f t="shared" si="46"/>
        <v>18.760968473654973</v>
      </c>
      <c r="AW8" s="146">
        <f t="shared" si="46"/>
        <v>18.06681264012974</v>
      </c>
      <c r="AX8" s="146">
        <f t="shared" si="46"/>
        <v>17.39834057244494</v>
      </c>
      <c r="AY8" s="146">
        <f t="shared" si="46"/>
        <v>16.754601971264478</v>
      </c>
      <c r="AZ8" s="146">
        <f t="shared" si="46"/>
        <v>16.134681698327693</v>
      </c>
      <c r="BA8" s="147">
        <f t="shared" si="46"/>
        <v>15.537698475489568</v>
      </c>
      <c r="BB8" s="150">
        <f t="shared" si="27"/>
        <v>231.36371797027203</v>
      </c>
      <c r="BC8" s="149">
        <f>BA8+BC10</f>
        <v>14.962803631896454</v>
      </c>
      <c r="BD8" s="146">
        <f>BC8+BD10</f>
        <v>14.409179897516285</v>
      </c>
      <c r="BE8" s="146">
        <f>BD8+BE10</f>
        <v>13.876040241308182</v>
      </c>
      <c r="BF8" s="146">
        <f t="shared" ref="BF8:BN8" si="47">BE8+BF10</f>
        <v>13.362626752379779</v>
      </c>
      <c r="BG8" s="146">
        <f t="shared" si="47"/>
        <v>12.868209562541727</v>
      </c>
      <c r="BH8" s="146">
        <f t="shared" si="47"/>
        <v>12.392085808727684</v>
      </c>
      <c r="BI8" s="146">
        <f t="shared" si="47"/>
        <v>11.933578633804759</v>
      </c>
      <c r="BJ8" s="146">
        <f t="shared" si="47"/>
        <v>11.492036224353983</v>
      </c>
      <c r="BK8" s="146">
        <f t="shared" si="47"/>
        <v>11.066830884052886</v>
      </c>
      <c r="BL8" s="146">
        <f t="shared" si="47"/>
        <v>10.657358141342929</v>
      </c>
      <c r="BM8" s="146">
        <f t="shared" si="47"/>
        <v>10.26303589011324</v>
      </c>
      <c r="BN8" s="147">
        <f t="shared" si="47"/>
        <v>9.8833035621790497</v>
      </c>
      <c r="BO8" s="150">
        <f t="shared" si="29"/>
        <v>147.16708923021693</v>
      </c>
      <c r="BP8" s="149">
        <f>BN8+BP10</f>
        <v>9.5176213303784252</v>
      </c>
      <c r="BQ8" s="146">
        <f>BP8+BQ10</f>
        <v>9.1654693411544237</v>
      </c>
      <c r="BR8" s="146">
        <f>BQ8+BR10</f>
        <v>8.8263469755317097</v>
      </c>
      <c r="BS8" s="146">
        <f t="shared" ref="BS8:CA8" si="48">BR8+BS10</f>
        <v>8.4997721374370361</v>
      </c>
      <c r="BT8" s="146">
        <f t="shared" si="48"/>
        <v>8.1852805683518657</v>
      </c>
      <c r="BU8" s="146">
        <f t="shared" si="48"/>
        <v>7.8824251873228466</v>
      </c>
      <c r="BV8" s="146">
        <f t="shared" si="48"/>
        <v>7.5907754553919009</v>
      </c>
      <c r="BW8" s="146">
        <f t="shared" si="48"/>
        <v>7.3099167635424003</v>
      </c>
      <c r="BX8" s="146">
        <f t="shared" si="48"/>
        <v>7.0394498432913313</v>
      </c>
      <c r="BY8" s="146">
        <f t="shared" si="48"/>
        <v>6.7789901990895522</v>
      </c>
      <c r="BZ8" s="146">
        <f t="shared" si="48"/>
        <v>6.5281675617232384</v>
      </c>
      <c r="CA8" s="147">
        <f t="shared" si="48"/>
        <v>6.2866253619394783</v>
      </c>
      <c r="CB8" s="150">
        <f t="shared" si="31"/>
        <v>93.610840725154191</v>
      </c>
      <c r="CC8" s="149">
        <f>CA8+CC10</f>
        <v>6.0540202235477176</v>
      </c>
      <c r="CD8" s="146">
        <f>CC8+CD10</f>
        <v>5.8300214752764523</v>
      </c>
      <c r="CE8" s="146">
        <f>CD8+CE10</f>
        <v>5.614310680691224</v>
      </c>
      <c r="CF8" s="146">
        <f t="shared" ref="CF8:CN8" si="49">CE8+CF10</f>
        <v>5.4065811855056491</v>
      </c>
      <c r="CG8" s="146">
        <f t="shared" si="49"/>
        <v>5.2065376816419402</v>
      </c>
      <c r="CH8" s="146">
        <f t="shared" si="49"/>
        <v>5.0138957874211885</v>
      </c>
      <c r="CI8" s="146">
        <f t="shared" si="49"/>
        <v>4.8283816432866047</v>
      </c>
      <c r="CJ8" s="146">
        <f t="shared" si="49"/>
        <v>4.6497315224850002</v>
      </c>
      <c r="CK8" s="146">
        <f t="shared" si="49"/>
        <v>4.477691456153055</v>
      </c>
      <c r="CL8" s="146">
        <f t="shared" si="49"/>
        <v>4.3120168722753922</v>
      </c>
      <c r="CM8" s="146">
        <f t="shared" si="49"/>
        <v>4.1524722480012031</v>
      </c>
      <c r="CN8" s="147">
        <f t="shared" si="49"/>
        <v>3.9988307748251586</v>
      </c>
      <c r="CO8" s="150">
        <f t="shared" si="33"/>
        <v>59.544491551110589</v>
      </c>
      <c r="CP8" s="149">
        <f>CN8+CP10</f>
        <v>3.8508740361566276</v>
      </c>
      <c r="CQ8" s="146">
        <f>CP8+CQ10</f>
        <v>3.7083916968188322</v>
      </c>
      <c r="CR8" s="146">
        <f>CQ8+CR10</f>
        <v>3.5711812040365354</v>
      </c>
      <c r="CS8" s="146">
        <f t="shared" ref="CS8:DA8" si="50">CR8+CS10</f>
        <v>3.4390474994871836</v>
      </c>
      <c r="CT8" s="146">
        <f t="shared" si="50"/>
        <v>3.311802742006158</v>
      </c>
      <c r="CU8" s="146">
        <f t="shared" si="50"/>
        <v>3.1892660405519302</v>
      </c>
      <c r="CV8" s="146">
        <f t="shared" si="50"/>
        <v>3.071263197051509</v>
      </c>
      <c r="CW8" s="146">
        <f t="shared" si="50"/>
        <v>2.9576264587606031</v>
      </c>
      <c r="CX8" s="146">
        <f t="shared" si="50"/>
        <v>2.848194279786461</v>
      </c>
      <c r="CY8" s="146">
        <f t="shared" si="50"/>
        <v>2.742811091434362</v>
      </c>
      <c r="CZ8" s="146">
        <f t="shared" si="50"/>
        <v>2.6413270810512905</v>
      </c>
      <c r="DA8" s="147">
        <f t="shared" si="50"/>
        <v>2.5435979790523926</v>
      </c>
      <c r="DB8" s="150">
        <f t="shared" si="35"/>
        <v>37.875383306193882</v>
      </c>
      <c r="DC8" s="149">
        <f>DA8+DC10</f>
        <v>2.4494848538274541</v>
      </c>
      <c r="DD8" s="146">
        <f>DC8+DD10</f>
        <v>2.3588539142358385</v>
      </c>
      <c r="DE8" s="146">
        <f>DD8+DE10</f>
        <v>2.2715763194091125</v>
      </c>
      <c r="DF8" s="146">
        <f t="shared" ref="DF8:DN8" si="51">DE8+DF10</f>
        <v>2.1875279955909752</v>
      </c>
      <c r="DG8" s="146">
        <f t="shared" si="51"/>
        <v>2.1065894597541091</v>
      </c>
      <c r="DH8" s="146">
        <f t="shared" si="51"/>
        <v>2.0286456497432068</v>
      </c>
      <c r="DI8" s="146">
        <f t="shared" si="51"/>
        <v>1.9535857607027083</v>
      </c>
      <c r="DJ8" s="146">
        <f t="shared" si="51"/>
        <v>1.8813030875567081</v>
      </c>
      <c r="DK8" s="146">
        <f t="shared" si="51"/>
        <v>1.8116948733171099</v>
      </c>
      <c r="DL8" s="146">
        <f t="shared" si="51"/>
        <v>1.7446621630043768</v>
      </c>
      <c r="DM8" s="146">
        <f t="shared" si="51"/>
        <v>1.6801096629732148</v>
      </c>
      <c r="DN8" s="147">
        <f t="shared" si="51"/>
        <v>1.617945605443206</v>
      </c>
      <c r="DO8" s="150">
        <f t="shared" si="37"/>
        <v>24.091979345558023</v>
      </c>
      <c r="DP8" s="149">
        <f>DN8+DP10</f>
        <v>1.5580816180418073</v>
      </c>
      <c r="DQ8" s="146">
        <f>DP8+DQ10</f>
        <v>1.5004325981742606</v>
      </c>
      <c r="DR8" s="146">
        <f>DQ8+DR10</f>
        <v>1.444916592041813</v>
      </c>
      <c r="DS8" s="146">
        <f t="shared" ref="DS8:EA8" si="52">DR8+DS10</f>
        <v>1.391454678136266</v>
      </c>
      <c r="DT8" s="146">
        <f t="shared" si="52"/>
        <v>1.3399708550452241</v>
      </c>
      <c r="DU8" s="146">
        <f t="shared" si="52"/>
        <v>1.2903919334085507</v>
      </c>
      <c r="DV8" s="146">
        <f t="shared" si="52"/>
        <v>1.2426474318724343</v>
      </c>
      <c r="DW8" s="146">
        <f t="shared" si="52"/>
        <v>1.1966694768931543</v>
      </c>
      <c r="DX8" s="146">
        <f t="shared" si="52"/>
        <v>1.1523927062481076</v>
      </c>
      <c r="DY8" s="146">
        <f t="shared" si="52"/>
        <v>1.1097541761169276</v>
      </c>
      <c r="DZ8" s="146">
        <f t="shared" si="52"/>
        <v>1.0686932716006012</v>
      </c>
      <c r="EA8" s="147">
        <f t="shared" si="52"/>
        <v>1.0291516205513791</v>
      </c>
      <c r="EB8" s="151">
        <f t="shared" si="39"/>
        <v>15.324556958130527</v>
      </c>
    </row>
    <row r="9" spans="1:132" s="329" customFormat="1" ht="24" customHeight="1">
      <c r="A9" s="327"/>
      <c r="B9" s="330" t="s">
        <v>217</v>
      </c>
      <c r="C9" s="2">
        <f>93*各種シミュレーション!$J$4</f>
        <v>74.400000000000006</v>
      </c>
      <c r="D9" s="2"/>
      <c r="E9" s="2"/>
      <c r="F9" s="158"/>
      <c r="G9" s="158"/>
      <c r="H9" s="158"/>
      <c r="I9" s="158"/>
      <c r="J9" s="158"/>
      <c r="K9" s="158"/>
      <c r="L9" s="158"/>
      <c r="M9" s="158"/>
      <c r="N9" s="159"/>
      <c r="O9" s="154">
        <f>SUM(C9:E9)</f>
        <v>74.400000000000006</v>
      </c>
      <c r="P9" s="160"/>
      <c r="Q9" s="161"/>
      <c r="R9" s="161"/>
      <c r="S9" s="161"/>
      <c r="T9" s="161"/>
      <c r="U9" s="161"/>
      <c r="V9" s="161"/>
      <c r="W9" s="161"/>
      <c r="X9" s="161"/>
      <c r="Y9" s="161"/>
      <c r="Z9" s="161"/>
      <c r="AA9" s="162"/>
      <c r="AB9" s="154"/>
      <c r="AC9" s="160"/>
      <c r="AD9" s="161"/>
      <c r="AE9" s="161"/>
      <c r="AF9" s="161"/>
      <c r="AG9" s="161"/>
      <c r="AH9" s="161"/>
      <c r="AI9" s="161"/>
      <c r="AJ9" s="161"/>
      <c r="AK9" s="161"/>
      <c r="AL9" s="161"/>
      <c r="AM9" s="161"/>
      <c r="AN9" s="162"/>
      <c r="AO9" s="5"/>
      <c r="AP9" s="160"/>
      <c r="AQ9" s="161"/>
      <c r="AR9" s="161"/>
      <c r="AS9" s="161"/>
      <c r="AT9" s="161"/>
      <c r="AU9" s="161"/>
      <c r="AV9" s="161"/>
      <c r="AW9" s="161"/>
      <c r="AX9" s="161"/>
      <c r="AY9" s="161"/>
      <c r="AZ9" s="161"/>
      <c r="BA9" s="162"/>
      <c r="BB9" s="5"/>
      <c r="BC9" s="160"/>
      <c r="BD9" s="161"/>
      <c r="BE9" s="161"/>
      <c r="BF9" s="161"/>
      <c r="BG9" s="161"/>
      <c r="BH9" s="161"/>
      <c r="BI9" s="161"/>
      <c r="BJ9" s="161"/>
      <c r="BK9" s="161"/>
      <c r="BL9" s="161"/>
      <c r="BM9" s="161"/>
      <c r="BN9" s="162"/>
      <c r="BO9" s="5"/>
      <c r="BP9" s="160"/>
      <c r="BQ9" s="161"/>
      <c r="BR9" s="161"/>
      <c r="BS9" s="161"/>
      <c r="BT9" s="161"/>
      <c r="BU9" s="161"/>
      <c r="BV9" s="161"/>
      <c r="BW9" s="161"/>
      <c r="BX9" s="161"/>
      <c r="BY9" s="161"/>
      <c r="BZ9" s="161"/>
      <c r="CA9" s="162"/>
      <c r="CB9" s="5"/>
      <c r="CC9" s="160"/>
      <c r="CD9" s="161"/>
      <c r="CE9" s="161"/>
      <c r="CF9" s="161"/>
      <c r="CG9" s="161"/>
      <c r="CH9" s="161"/>
      <c r="CI9" s="161"/>
      <c r="CJ9" s="161"/>
      <c r="CK9" s="161"/>
      <c r="CL9" s="161"/>
      <c r="CM9" s="161"/>
      <c r="CN9" s="162"/>
      <c r="CO9" s="5"/>
      <c r="CP9" s="160"/>
      <c r="CQ9" s="161"/>
      <c r="CR9" s="161"/>
      <c r="CS9" s="161"/>
      <c r="CT9" s="161"/>
      <c r="CU9" s="161"/>
      <c r="CV9" s="161"/>
      <c r="CW9" s="161"/>
      <c r="CX9" s="161"/>
      <c r="CY9" s="161"/>
      <c r="CZ9" s="161"/>
      <c r="DA9" s="162"/>
      <c r="DB9" s="5"/>
      <c r="DC9" s="160"/>
      <c r="DD9" s="161"/>
      <c r="DE9" s="161"/>
      <c r="DF9" s="161"/>
      <c r="DG9" s="161"/>
      <c r="DH9" s="161"/>
      <c r="DI9" s="161"/>
      <c r="DJ9" s="161"/>
      <c r="DK9" s="161"/>
      <c r="DL9" s="161"/>
      <c r="DM9" s="161"/>
      <c r="DN9" s="162"/>
      <c r="DO9" s="5"/>
      <c r="DP9" s="160"/>
      <c r="DQ9" s="161"/>
      <c r="DR9" s="161"/>
      <c r="DS9" s="161"/>
      <c r="DT9" s="161"/>
      <c r="DU9" s="161"/>
      <c r="DV9" s="161"/>
      <c r="DW9" s="161"/>
      <c r="DX9" s="161"/>
      <c r="DY9" s="161"/>
      <c r="DZ9" s="161"/>
      <c r="EA9" s="162"/>
      <c r="EB9" s="6"/>
    </row>
    <row r="10" spans="1:132" s="329" customFormat="1" ht="24" customHeight="1">
      <c r="A10" s="327"/>
      <c r="B10" s="330" t="s">
        <v>216</v>
      </c>
      <c r="C10" s="156"/>
      <c r="D10" s="156"/>
      <c r="E10" s="157"/>
      <c r="F10" s="152"/>
      <c r="G10" s="152"/>
      <c r="H10" s="152"/>
      <c r="I10" s="152">
        <f>-ABS(H8*各種シミュレーション!$J$9)</f>
        <v>-0.81840000000000002</v>
      </c>
      <c r="J10" s="152">
        <f>-ABS(I8*各種シミュレーション!$J$9)</f>
        <v>-0.80939760000000005</v>
      </c>
      <c r="K10" s="152">
        <f>-ABS(J8*各種シミュレーション!$J$9)</f>
        <v>-0.80049422640000012</v>
      </c>
      <c r="L10" s="152">
        <f>-ABS(K8*各種シミュレーション!$J$8)</f>
        <v>-3.3826702841592002</v>
      </c>
      <c r="M10" s="152">
        <f>-ABS(L8*各種シミュレーション!$J$8)</f>
        <v>-3.2236847808037177</v>
      </c>
      <c r="N10" s="153">
        <f>-ABS(M8*各種シミュレーション!$J$8)</f>
        <v>-3.0721715961059428</v>
      </c>
      <c r="O10" s="154">
        <f>SUM(F10:N10)</f>
        <v>-12.10681848746886</v>
      </c>
      <c r="P10" s="155">
        <f>-ABS(N8*各種シミュレーション!$J$8)</f>
        <v>-2.9277795310889632</v>
      </c>
      <c r="Q10" s="152">
        <f>-ABS(P8*各種シミュレーション!$J$8)</f>
        <v>-2.7901738931277817</v>
      </c>
      <c r="R10" s="152">
        <f>-ABS(Q8*各種シミュレーション!$J$8)</f>
        <v>-2.6590357201507762</v>
      </c>
      <c r="S10" s="2">
        <f>-ABS(R8*各種シミュレーション!$J$7)</f>
        <v>-1.9948991176220536</v>
      </c>
      <c r="T10" s="2">
        <f>-ABS(S8*各種シミュレーション!$J$7)</f>
        <v>-1.9210878502700377</v>
      </c>
      <c r="U10" s="2">
        <f>-ABS(T8*各種シミュレーション!$J$7)</f>
        <v>-1.850007599810046</v>
      </c>
      <c r="V10" s="2">
        <f>-ABS(U8*各種シミュレーション!$J$7)</f>
        <v>-1.7815573186170743</v>
      </c>
      <c r="W10" s="2">
        <f>-ABS(V8*各種シミュレーション!$J$7)</f>
        <v>-1.7156396978282424</v>
      </c>
      <c r="X10" s="2">
        <f>-ABS(W8*各種シミュレーション!$J$7)</f>
        <v>-1.6521610290085975</v>
      </c>
      <c r="Y10" s="2">
        <f>-ABS(X8*各種シミュレーション!$J$7)</f>
        <v>-1.5910310709352795</v>
      </c>
      <c r="Z10" s="2">
        <f>-ABS(Y8*各種シミュレーション!$J$7)</f>
        <v>-1.532162921310674</v>
      </c>
      <c r="AA10" s="3">
        <f>-ABS(Z8*各種シミュレーション!$J$7)</f>
        <v>-1.4754728932221792</v>
      </c>
      <c r="AB10" s="154">
        <f t="shared" si="23"/>
        <v>-23.891008642991704</v>
      </c>
      <c r="AC10" s="163">
        <f>-ABS(AA8*各種シミュレーション!$J$7)</f>
        <v>-1.4208803961729586</v>
      </c>
      <c r="AD10" s="2">
        <f>-ABS(AC8*各種シミュレーション!$J$7)</f>
        <v>-1.368307821514559</v>
      </c>
      <c r="AE10" s="152">
        <f>-ABS(AD8*各種シミュレーション!$J$7)</f>
        <v>-1.3176804321185203</v>
      </c>
      <c r="AF10" s="152">
        <f>-ABS(AE8*各種シミュレーション!$J$7)</f>
        <v>-1.2689262561301351</v>
      </c>
      <c r="AG10" s="152">
        <f>-ABS(AF8*各種シミュレーション!$J$7)</f>
        <v>-1.22197598465332</v>
      </c>
      <c r="AH10" s="152">
        <f>-ABS(AG8*各種シミュレーション!$J$7)</f>
        <v>-1.1767628732211473</v>
      </c>
      <c r="AI10" s="152">
        <f>-ABS(AH8*各種シミュレーション!$J$7)</f>
        <v>-1.1332226469119648</v>
      </c>
      <c r="AJ10" s="152">
        <f>-ABS(AI8*各種シミュレーション!$J$7)</f>
        <v>-1.0912934089762221</v>
      </c>
      <c r="AK10" s="152">
        <f>-ABS(AJ8*各種シミュレーション!$J$7)</f>
        <v>-1.0509155528441019</v>
      </c>
      <c r="AL10" s="152">
        <f>-ABS(AK8*各種シミュレーション!$J$7)</f>
        <v>-1.0120316773888702</v>
      </c>
      <c r="AM10" s="152">
        <f>-ABS(AL8*各種シミュレーション!$J$7)</f>
        <v>-0.97458650532548197</v>
      </c>
      <c r="AN10" s="153">
        <f>-ABS(AM8*各種シミュレーション!$J$7)</f>
        <v>-0.93852680462843918</v>
      </c>
      <c r="AO10" s="5">
        <f t="shared" si="25"/>
        <v>-13.97511035988572</v>
      </c>
      <c r="AP10" s="163">
        <f>-ABS(AN8*各種シミュレーション!$J$7)</f>
        <v>-0.9038013128571869</v>
      </c>
      <c r="AQ10" s="2">
        <f>-ABS(AP8*各種シミュレーション!$J$7)</f>
        <v>-0.87036066428147096</v>
      </c>
      <c r="AR10" s="152">
        <f>-ABS(AQ8*各種シミュレーション!$J$7)</f>
        <v>-0.83815731970305662</v>
      </c>
      <c r="AS10" s="152">
        <f>-ABS(AR8*各種シミュレーション!$J$7)</f>
        <v>-0.80714549887404352</v>
      </c>
      <c r="AT10" s="152">
        <f>-ABS(AS8*各種シミュレーション!$J$7)</f>
        <v>-0.77728111541570388</v>
      </c>
      <c r="AU10" s="152">
        <f>-ABS(AT8*各種シミュレーション!$J$7)</f>
        <v>-0.74852171414532287</v>
      </c>
      <c r="AV10" s="152">
        <f>-ABS(AU8*各種シミュレーション!$J$7)</f>
        <v>-0.72082641072194586</v>
      </c>
      <c r="AW10" s="152">
        <f>-ABS(AV8*各種シミュレーション!$J$7)</f>
        <v>-0.69415583352523402</v>
      </c>
      <c r="AX10" s="152">
        <f>-ABS(AW8*各種シミュレーション!$J$7)</f>
        <v>-0.66847206768480039</v>
      </c>
      <c r="AY10" s="152">
        <f>-ABS(AX8*各種シミュレーション!$J$7)</f>
        <v>-0.64373860118046278</v>
      </c>
      <c r="AZ10" s="152">
        <f>-ABS(AY8*各種シミュレーション!$J$7)</f>
        <v>-0.61992027293678564</v>
      </c>
      <c r="BA10" s="153">
        <f>-ABS(AZ8*各種シミュレーション!$J$7)</f>
        <v>-0.59698322283812466</v>
      </c>
      <c r="BB10" s="5">
        <f t="shared" si="27"/>
        <v>-8.8893640341641369</v>
      </c>
      <c r="BC10" s="163">
        <f>-ABS(BA8*各種シミュレーション!$J$7)</f>
        <v>-0.57489484359311405</v>
      </c>
      <c r="BD10" s="2">
        <f>-ABS(BC8*各種シミュレーション!$J$7)</f>
        <v>-0.55362373438016876</v>
      </c>
      <c r="BE10" s="152">
        <f>-ABS(BD8*各種シミュレーション!$J$7)</f>
        <v>-0.53313965620810255</v>
      </c>
      <c r="BF10" s="152">
        <f>-ABS(BE8*各種シミュレーション!$J$7)</f>
        <v>-0.51341348892840266</v>
      </c>
      <c r="BG10" s="152">
        <f>-ABS(BF8*各種シミュレーション!$J$7)</f>
        <v>-0.49441718983805177</v>
      </c>
      <c r="BH10" s="152">
        <f>-ABS(BG8*各種シミュレーション!$J$7)</f>
        <v>-0.47612375381404387</v>
      </c>
      <c r="BI10" s="152">
        <f>-ABS(BH8*各種シミュレーション!$J$7)</f>
        <v>-0.45850717492292425</v>
      </c>
      <c r="BJ10" s="152">
        <f>-ABS(BI8*各種シミュレーション!$J$7)</f>
        <v>-0.44154240945077605</v>
      </c>
      <c r="BK10" s="152">
        <f>-ABS(BJ8*各種シミュレーション!$J$7)</f>
        <v>-0.42520534030109736</v>
      </c>
      <c r="BL10" s="152">
        <f>-ABS(BK8*各種シミュレーション!$J$7)</f>
        <v>-0.40947274270995676</v>
      </c>
      <c r="BM10" s="152">
        <f>-ABS(BL8*各種シミュレーション!$J$7)</f>
        <v>-0.39432225122968834</v>
      </c>
      <c r="BN10" s="153">
        <f>-ABS(BM8*各種シミュレーション!$J$7)</f>
        <v>-0.37973232793418987</v>
      </c>
      <c r="BO10" s="5">
        <f t="shared" si="29"/>
        <v>-5.654394913310516</v>
      </c>
      <c r="BP10" s="163">
        <f>-ABS(BN8*各種シミュレーション!$J$7)</f>
        <v>-0.36568223180062481</v>
      </c>
      <c r="BQ10" s="2">
        <f>-ABS(BP8*各種シミュレーション!$J$7)</f>
        <v>-0.3521519892240017</v>
      </c>
      <c r="BR10" s="152">
        <f>-ABS(BQ8*各種シミュレーション!$J$7)</f>
        <v>-0.33912236562271364</v>
      </c>
      <c r="BS10" s="152">
        <f>-ABS(BR8*各種シミュレーション!$J$7)</f>
        <v>-0.32657483809467325</v>
      </c>
      <c r="BT10" s="152">
        <f>-ABS(BS8*各種シミュレーション!$J$7)</f>
        <v>-0.31449156908517034</v>
      </c>
      <c r="BU10" s="152">
        <f>-ABS(BT8*各種シミュレーション!$J$7)</f>
        <v>-0.30285538102901899</v>
      </c>
      <c r="BV10" s="152">
        <f>-ABS(BU8*各種シミュレーション!$J$7)</f>
        <v>-0.29164973193094529</v>
      </c>
      <c r="BW10" s="152">
        <f>-ABS(BV8*各種シミュレーション!$J$7)</f>
        <v>-0.2808586918495003</v>
      </c>
      <c r="BX10" s="152">
        <f>-ABS(BW8*各種シミュレーション!$J$7)</f>
        <v>-0.27046692025106878</v>
      </c>
      <c r="BY10" s="152">
        <f>-ABS(BX8*各種シミュレーション!$J$7)</f>
        <v>-0.26045964420177925</v>
      </c>
      <c r="BZ10" s="152">
        <f>-ABS(BY8*各種シミュレーション!$J$7)</f>
        <v>-0.25082263736631344</v>
      </c>
      <c r="CA10" s="153">
        <f>-ABS(BZ8*各種シミュレーション!$J$7)</f>
        <v>-0.24154219978375982</v>
      </c>
      <c r="CB10" s="5">
        <f t="shared" si="31"/>
        <v>-3.5966782002395687</v>
      </c>
      <c r="CC10" s="163">
        <f>-ABS(CA8*各種シミュレーション!$J$7)</f>
        <v>-0.2326051383917607</v>
      </c>
      <c r="CD10" s="2">
        <f>-ABS(CC8*各種シミュレーション!$J$7)</f>
        <v>-0.22399874827126554</v>
      </c>
      <c r="CE10" s="152">
        <f>-ABS(CD8*各種シミュレーション!$J$7)</f>
        <v>-0.21571079458522874</v>
      </c>
      <c r="CF10" s="152">
        <f>-ABS(CE8*各種シミュレーション!$J$7)</f>
        <v>-0.20772949518557526</v>
      </c>
      <c r="CG10" s="152">
        <f>-ABS(CF8*各種シミュレーション!$J$7)</f>
        <v>-0.200043503863709</v>
      </c>
      <c r="CH10" s="152">
        <f>-ABS(CG8*各種シミュレーション!$J$7)</f>
        <v>-0.19264189422075179</v>
      </c>
      <c r="CI10" s="152">
        <f>-ABS(CH8*各種シミュレーション!$J$7)</f>
        <v>-0.18551414413458397</v>
      </c>
      <c r="CJ10" s="152">
        <f>-ABS(CI8*各種シミュレーション!$J$7)</f>
        <v>-0.17865012080160436</v>
      </c>
      <c r="CK10" s="152">
        <f>-ABS(CJ8*各種シミュレーション!$J$7)</f>
        <v>-0.17204006633194499</v>
      </c>
      <c r="CL10" s="152">
        <f>-ABS(CK8*各種シミュレーション!$J$7)</f>
        <v>-0.16567458387766301</v>
      </c>
      <c r="CM10" s="152">
        <f>-ABS(CL8*各種シミュレーション!$J$7)</f>
        <v>-0.1595446242741895</v>
      </c>
      <c r="CN10" s="153">
        <f>-ABS(CM8*各種シミュレーション!$J$7)</f>
        <v>-0.15364147317604451</v>
      </c>
      <c r="CO10" s="5">
        <f t="shared" si="33"/>
        <v>-2.2877945871143215</v>
      </c>
      <c r="CP10" s="163">
        <f>-ABS(CN8*各種シミュレーション!$J$7)</f>
        <v>-0.14795673866853087</v>
      </c>
      <c r="CQ10" s="2">
        <f>-ABS(CP8*各種シミュレーション!$J$7)</f>
        <v>-0.14248233933779522</v>
      </c>
      <c r="CR10" s="152">
        <f>-ABS(CQ8*各種シミュレーション!$J$7)</f>
        <v>-0.13721049278229677</v>
      </c>
      <c r="CS10" s="152">
        <f>-ABS(CR8*各種シミュレーション!$J$7)</f>
        <v>-0.1321337045493518</v>
      </c>
      <c r="CT10" s="152">
        <f>-ABS(CS8*各種シミュレーション!$J$7)</f>
        <v>-0.12724475748102579</v>
      </c>
      <c r="CU10" s="152">
        <f>-ABS(CT8*各種シミュレーション!$J$7)</f>
        <v>-0.12253670145422783</v>
      </c>
      <c r="CV10" s="152">
        <f>-ABS(CU8*各種シミュレーション!$J$7)</f>
        <v>-0.11800284350042141</v>
      </c>
      <c r="CW10" s="152">
        <f>-ABS(CV8*各種シミュレーション!$J$7)</f>
        <v>-0.11363673829090583</v>
      </c>
      <c r="CX10" s="152">
        <f>-ABS(CW8*各種シミュレーション!$J$7)</f>
        <v>-0.10943217897414231</v>
      </c>
      <c r="CY10" s="152">
        <f>-ABS(CX8*各種シミュレーション!$J$7)</f>
        <v>-0.10538318835209905</v>
      </c>
      <c r="CZ10" s="152">
        <f>-ABS(CY8*各種シミュレーション!$J$7)</f>
        <v>-0.10148401038307139</v>
      </c>
      <c r="DA10" s="153">
        <f>-ABS(CZ8*各種シミュレーション!$J$7)</f>
        <v>-9.7729101998897741E-2</v>
      </c>
      <c r="DB10" s="5">
        <f t="shared" si="35"/>
        <v>-1.4552327957727662</v>
      </c>
      <c r="DC10" s="163">
        <f>-ABS(DA8*各種シミュレーション!$J$7)</f>
        <v>-9.4113125224938518E-2</v>
      </c>
      <c r="DD10" s="2">
        <f>-ABS(DC8*各種シミュレーション!$J$7)</f>
        <v>-9.0630939591615792E-2</v>
      </c>
      <c r="DE10" s="152">
        <f>-ABS(DD8*各種シミュレーション!$J$7)</f>
        <v>-8.7277594826726021E-2</v>
      </c>
      <c r="DF10" s="152">
        <f>-ABS(DE8*各種シミュレーション!$J$7)</f>
        <v>-8.4048323818137163E-2</v>
      </c>
      <c r="DG10" s="152">
        <f>-ABS(DF8*各種シミュレーション!$J$7)</f>
        <v>-8.0938535836866082E-2</v>
      </c>
      <c r="DH10" s="152">
        <f>-ABS(DG8*各種シミュレーション!$J$7)</f>
        <v>-7.7943810010902032E-2</v>
      </c>
      <c r="DI10" s="152">
        <f>-ABS(DH8*各種シミュレーション!$J$7)</f>
        <v>-7.5059889040498651E-2</v>
      </c>
      <c r="DJ10" s="152">
        <f>-ABS(DI8*各種シミュレーション!$J$7)</f>
        <v>-7.2282673146000204E-2</v>
      </c>
      <c r="DK10" s="152">
        <f>-ABS(DJ8*各種シミュレーション!$J$7)</f>
        <v>-6.960821423959819E-2</v>
      </c>
      <c r="DL10" s="152">
        <f>-ABS(DK8*各種シミュレーション!$J$7)</f>
        <v>-6.7032710312733057E-2</v>
      </c>
      <c r="DM10" s="152">
        <f>-ABS(DL8*各種シミュレーション!$J$7)</f>
        <v>-6.4552500031161933E-2</v>
      </c>
      <c r="DN10" s="153">
        <f>-ABS(DM8*各種シミュレーション!$J$7)</f>
        <v>-6.2164057530008948E-2</v>
      </c>
      <c r="DO10" s="5">
        <f t="shared" si="37"/>
        <v>-0.92565237360918662</v>
      </c>
      <c r="DP10" s="163">
        <f>-ABS(DN8*各種シミュレーション!$J$7)</f>
        <v>-5.9863987401398616E-2</v>
      </c>
      <c r="DQ10" s="2">
        <f>-ABS(DP8*各種シミュレーション!$J$7)</f>
        <v>-5.764901986754687E-2</v>
      </c>
      <c r="DR10" s="152">
        <f>-ABS(DQ8*各種シミュレーション!$J$7)</f>
        <v>-5.5516006132447636E-2</v>
      </c>
      <c r="DS10" s="152">
        <f>-ABS(DR8*各種シミュレーション!$J$7)</f>
        <v>-5.3461913905547082E-2</v>
      </c>
      <c r="DT10" s="152">
        <f>-ABS(DS8*各種シミュレーション!$J$7)</f>
        <v>-5.1483823091041839E-2</v>
      </c>
      <c r="DU10" s="152">
        <f>-ABS(DT8*各種シミュレーション!$J$7)</f>
        <v>-4.9578921636673288E-2</v>
      </c>
      <c r="DV10" s="152">
        <f>-ABS(DU8*各種シミュレーション!$J$7)</f>
        <v>-4.7744501536116375E-2</v>
      </c>
      <c r="DW10" s="152">
        <f>-ABS(DV8*各種シミュレーション!$J$7)</f>
        <v>-4.5977954979280068E-2</v>
      </c>
      <c r="DX10" s="152">
        <f>-ABS(DW8*各種シミュレーション!$J$7)</f>
        <v>-4.4276770645046704E-2</v>
      </c>
      <c r="DY10" s="152">
        <f>-ABS(DX8*各種シミュレーション!$J$7)</f>
        <v>-4.2638530131179977E-2</v>
      </c>
      <c r="DZ10" s="152">
        <f>-ABS(DY8*各種シミュレーション!$J$7)</f>
        <v>-4.1060904516326317E-2</v>
      </c>
      <c r="EA10" s="153">
        <f>-ABS(DZ8*各種シミュレーション!$J$7)</f>
        <v>-3.9541651049222241E-2</v>
      </c>
      <c r="EB10" s="6">
        <f>SUM(DP10:EA10)</f>
        <v>-0.58879398489182699</v>
      </c>
    </row>
    <row r="11" spans="1:132" s="332" customFormat="1" ht="24" customHeight="1">
      <c r="A11" s="331"/>
      <c r="B11" s="330" t="s">
        <v>215</v>
      </c>
      <c r="C11" s="2"/>
      <c r="D11" s="2"/>
      <c r="E11" s="2"/>
      <c r="F11" s="2"/>
      <c r="G11" s="2"/>
      <c r="H11" s="2"/>
      <c r="I11" s="2"/>
      <c r="J11" s="2"/>
      <c r="K11" s="2"/>
      <c r="L11" s="152"/>
      <c r="M11" s="152"/>
      <c r="N11" s="153"/>
      <c r="O11" s="154">
        <f>O6+O7+O9+O10</f>
        <v>387.29414902430307</v>
      </c>
      <c r="P11" s="155"/>
      <c r="Q11" s="152"/>
      <c r="R11" s="152"/>
      <c r="S11" s="2"/>
      <c r="T11" s="2"/>
      <c r="U11" s="2"/>
      <c r="V11" s="2"/>
      <c r="W11" s="2"/>
      <c r="X11" s="2"/>
      <c r="Y11" s="2"/>
      <c r="Z11" s="2"/>
      <c r="AA11" s="3"/>
      <c r="AB11" s="154">
        <f>AB6+AB7+AB9+AB10</f>
        <v>185.36985157830932</v>
      </c>
      <c r="AC11" s="163"/>
      <c r="AD11" s="2"/>
      <c r="AE11" s="152"/>
      <c r="AF11" s="2"/>
      <c r="AG11" s="2"/>
      <c r="AH11" s="2"/>
      <c r="AI11" s="2"/>
      <c r="AJ11" s="2"/>
      <c r="AK11" s="2"/>
      <c r="AL11" s="2"/>
      <c r="AM11" s="2"/>
      <c r="AN11" s="3"/>
      <c r="AO11" s="154">
        <f>AO6+AO7+AO9+AO10</f>
        <v>43.310349207529669</v>
      </c>
      <c r="AP11" s="155"/>
      <c r="AQ11" s="152"/>
      <c r="AR11" s="152"/>
      <c r="AS11" s="2"/>
      <c r="AT11" s="2"/>
      <c r="AU11" s="2"/>
      <c r="AV11" s="2"/>
      <c r="AW11" s="2"/>
      <c r="AX11" s="2"/>
      <c r="AY11" s="2"/>
      <c r="AZ11" s="2"/>
      <c r="BA11" s="3"/>
      <c r="BB11" s="154">
        <f>BB6+BB7+BB9+BB10</f>
        <v>49.707829218259242</v>
      </c>
      <c r="BC11" s="155"/>
      <c r="BD11" s="152"/>
      <c r="BE11" s="152"/>
      <c r="BF11" s="2"/>
      <c r="BG11" s="2"/>
      <c r="BH11" s="2"/>
      <c r="BI11" s="2"/>
      <c r="BJ11" s="2"/>
      <c r="BK11" s="2"/>
      <c r="BL11" s="2"/>
      <c r="BM11" s="2"/>
      <c r="BN11" s="3"/>
      <c r="BO11" s="154">
        <f>BO6+BO7+BO9+BO10</f>
        <v>31.618425750505363</v>
      </c>
      <c r="BP11" s="155"/>
      <c r="BQ11" s="152"/>
      <c r="BR11" s="152"/>
      <c r="BS11" s="2"/>
      <c r="BT11" s="2"/>
      <c r="BU11" s="2"/>
      <c r="BV11" s="2"/>
      <c r="BW11" s="2"/>
      <c r="BX11" s="2"/>
      <c r="BY11" s="2"/>
      <c r="BZ11" s="2"/>
      <c r="CA11" s="3"/>
      <c r="CB11" s="154">
        <f>CB6+CB7+CB9+CB10</f>
        <v>20.112019829926464</v>
      </c>
      <c r="CC11" s="155"/>
      <c r="CD11" s="152"/>
      <c r="CE11" s="152"/>
      <c r="CF11" s="2"/>
      <c r="CG11" s="2"/>
      <c r="CH11" s="2"/>
      <c r="CI11" s="2"/>
      <c r="CJ11" s="2"/>
      <c r="CK11" s="2"/>
      <c r="CL11" s="2"/>
      <c r="CM11" s="2"/>
      <c r="CN11" s="3"/>
      <c r="CO11" s="154">
        <f>CO6+CO7+CO9+CO10</f>
        <v>12.792962712031622</v>
      </c>
      <c r="CP11" s="155"/>
      <c r="CQ11" s="152"/>
      <c r="CR11" s="152"/>
      <c r="CS11" s="2"/>
      <c r="CT11" s="2"/>
      <c r="CU11" s="2"/>
      <c r="CV11" s="2"/>
      <c r="CW11" s="2"/>
      <c r="CX11" s="2"/>
      <c r="CY11" s="2"/>
      <c r="CZ11" s="2"/>
      <c r="DA11" s="3"/>
      <c r="DB11" s="154">
        <f>DB6+DB7+DB9+DB10</f>
        <v>8.1374171433494595</v>
      </c>
      <c r="DC11" s="155"/>
      <c r="DD11" s="152"/>
      <c r="DE11" s="152"/>
      <c r="DF11" s="2"/>
      <c r="DG11" s="2"/>
      <c r="DH11" s="2"/>
      <c r="DI11" s="2"/>
      <c r="DJ11" s="2"/>
      <c r="DK11" s="2"/>
      <c r="DL11" s="2"/>
      <c r="DM11" s="2"/>
      <c r="DN11" s="3"/>
      <c r="DO11" s="154">
        <f>DO6+DO7+DO9+DO10</f>
        <v>5.1760924545337685</v>
      </c>
      <c r="DP11" s="155"/>
      <c r="DQ11" s="152"/>
      <c r="DR11" s="152"/>
      <c r="DS11" s="2"/>
      <c r="DT11" s="2"/>
      <c r="DU11" s="2"/>
      <c r="DV11" s="2"/>
      <c r="DW11" s="2"/>
      <c r="DX11" s="2"/>
      <c r="DY11" s="2"/>
      <c r="DZ11" s="2"/>
      <c r="EA11" s="3"/>
      <c r="EB11" s="164">
        <f>EB6+EB7+EB9+EB10</f>
        <v>3.2924369767350705</v>
      </c>
    </row>
    <row r="12" spans="1:132" s="332" customFormat="1" ht="24" customHeight="1">
      <c r="A12" s="333"/>
      <c r="B12" s="330" t="s">
        <v>214</v>
      </c>
      <c r="C12" s="2"/>
      <c r="D12" s="2"/>
      <c r="E12" s="2"/>
      <c r="F12" s="2"/>
      <c r="G12" s="2"/>
      <c r="H12" s="2">
        <f>(H13-H23)/H4</f>
        <v>3913.4259259259265</v>
      </c>
      <c r="I12" s="2">
        <f t="shared" ref="I12:N12" si="53">(I13-I23)/I4</f>
        <v>4156.8919503750731</v>
      </c>
      <c r="J12" s="2">
        <f t="shared" si="53"/>
        <v>4065.2965278748916</v>
      </c>
      <c r="K12" s="2">
        <f t="shared" si="53"/>
        <v>4100.2509939863112</v>
      </c>
      <c r="L12" s="2">
        <f t="shared" si="53"/>
        <v>4262.620963318228</v>
      </c>
      <c r="M12" s="2">
        <f t="shared" si="53"/>
        <v>4300.2478902873745</v>
      </c>
      <c r="N12" s="3">
        <f t="shared" si="53"/>
        <v>4492.6367912972009</v>
      </c>
      <c r="O12" s="154">
        <f>AVERAGE(H12:N12)</f>
        <v>4184.4815775807156</v>
      </c>
      <c r="P12" s="2">
        <f>(P13-P23)/P4</f>
        <v>4417.2826924979017</v>
      </c>
      <c r="Q12" s="2">
        <f t="shared" ref="Q12:Z12" si="54">(Q13-Q23)/Q4</f>
        <v>4505.1535640781185</v>
      </c>
      <c r="R12" s="2">
        <f>(R13-R23)/R4</f>
        <v>4079.9115171272369</v>
      </c>
      <c r="S12" s="2">
        <f t="shared" si="54"/>
        <v>4421.9801006409662</v>
      </c>
      <c r="T12" s="2">
        <f t="shared" si="54"/>
        <v>4228.2685430106258</v>
      </c>
      <c r="U12" s="2">
        <f t="shared" si="54"/>
        <v>4260.5544223717898</v>
      </c>
      <c r="V12" s="2">
        <f t="shared" si="54"/>
        <v>4541.0797266603468</v>
      </c>
      <c r="W12" s="2">
        <f t="shared" si="54"/>
        <v>4321.6580875495729</v>
      </c>
      <c r="X12" s="2">
        <f t="shared" si="54"/>
        <v>4405.0327854370207</v>
      </c>
      <c r="Y12" s="2">
        <f t="shared" si="54"/>
        <v>4494.3637504672606</v>
      </c>
      <c r="Z12" s="2">
        <f t="shared" si="54"/>
        <v>4369.1240230484646</v>
      </c>
      <c r="AA12" s="2">
        <f>(AA13-AA23)/AA4</f>
        <v>4453.4475394884475</v>
      </c>
      <c r="AB12" s="154">
        <f>AVERAGE(P12:AA12)</f>
        <v>4374.8213960314788</v>
      </c>
      <c r="AC12" s="2">
        <f>(AC13-AC23)/AC4</f>
        <v>4533.4108672223147</v>
      </c>
      <c r="AD12" s="2">
        <f t="shared" ref="AD12" si="55">(AD13-AD23)/AD4</f>
        <v>4524.9940561527965</v>
      </c>
      <c r="AE12" s="2">
        <f>(AE13-AE23)/AE4</f>
        <v>4434.7109831258949</v>
      </c>
      <c r="AF12" s="2">
        <f t="shared" ref="AF12" si="56">(AF13-AF23)/AF4</f>
        <v>4692.6787156823402</v>
      </c>
      <c r="AG12" s="2">
        <f t="shared" ref="AG12" si="57">(AG13-AG23)/AG4</f>
        <v>4502.8674925524429</v>
      </c>
      <c r="AH12" s="2">
        <f t="shared" ref="AH12" si="58">(AH13-AH23)/AH4</f>
        <v>4561.7163569750064</v>
      </c>
      <c r="AI12" s="2">
        <f t="shared" ref="AI12" si="59">(AI13-AI23)/AI4</f>
        <v>4577.9033500928299</v>
      </c>
      <c r="AJ12" s="2">
        <f t="shared" ref="AJ12" si="60">(AJ13-AJ23)/AJ4</f>
        <v>4611.0335318368698</v>
      </c>
      <c r="AK12" s="2">
        <f t="shared" ref="AK12" si="61">(AK13-AK23)/AK4</f>
        <v>4581.2800363182341</v>
      </c>
      <c r="AL12" s="2">
        <f t="shared" ref="AL12" si="62">(AL13-AL23)/AL4</f>
        <v>4648.2034749899485</v>
      </c>
      <c r="AM12" s="2">
        <f t="shared" ref="AM12" si="63">(AM13-AM23)/AM4</f>
        <v>4642.4904925497121</v>
      </c>
      <c r="AN12" s="2">
        <f>(AN13-AN23)/AN4</f>
        <v>4678.393647957354</v>
      </c>
      <c r="AO12" s="154">
        <f>AVERAGE(AC12:AN12)</f>
        <v>4582.473583787978</v>
      </c>
      <c r="AP12" s="2">
        <f>(AP13-AP23)/AP4</f>
        <v>4553.6852472206592</v>
      </c>
      <c r="AQ12" s="2">
        <f>(AQ13-AQ23)/AQ4</f>
        <v>4679.6029382163506</v>
      </c>
      <c r="AR12" s="2">
        <f>(AR13-AR23)/AR4</f>
        <v>4592.7173247056244</v>
      </c>
      <c r="AS12" s="2">
        <f t="shared" ref="AS12" si="64">(AS13-AS23)/AS4</f>
        <v>4600.7568065309406</v>
      </c>
      <c r="AT12" s="2">
        <f t="shared" ref="AT12" si="65">(AT13-AT23)/AT4</f>
        <v>4595.1348874257192</v>
      </c>
      <c r="AU12" s="2">
        <f t="shared" ref="AU12" si="66">(AU13-AU23)/AU4</f>
        <v>4590.1512964728581</v>
      </c>
      <c r="AV12" s="2">
        <f t="shared" ref="AV12" si="67">(AV13-AV23)/AV4</f>
        <v>4562.6978743124982</v>
      </c>
      <c r="AW12" s="2">
        <f t="shared" ref="AW12" si="68">(AW13-AW23)/AW4</f>
        <v>4569.4625834032458</v>
      </c>
      <c r="AX12" s="2">
        <f t="shared" ref="AX12" si="69">(AX13-AX23)/AX4</f>
        <v>4607.5502188604396</v>
      </c>
      <c r="AY12" s="2">
        <f t="shared" ref="AY12" si="70">(AY13-AY23)/AY4</f>
        <v>4613.4007979545522</v>
      </c>
      <c r="AZ12" s="2">
        <f t="shared" ref="AZ12" si="71">(AZ13-AZ23)/AZ4</f>
        <v>4659.5054319112569</v>
      </c>
      <c r="BA12" s="2">
        <f>(BA13-BA23)/BA4</f>
        <v>4519.0778292439691</v>
      </c>
      <c r="BB12" s="154">
        <f>AVERAGE(AP12:BA12)</f>
        <v>4595.3119363548421</v>
      </c>
      <c r="BC12" s="2">
        <f>(BC13-BC23)/BC4</f>
        <v>4578.5342405880992</v>
      </c>
      <c r="BD12" s="2">
        <f t="shared" ref="BD12" si="72">(BD13-BD23)/BD4</f>
        <v>4631.2489975999633</v>
      </c>
      <c r="BE12" s="2">
        <f>(BE13-BE23)/BE4</f>
        <v>4605.1426226846061</v>
      </c>
      <c r="BF12" s="2">
        <f t="shared" ref="BF12" si="73">(BF13-BF23)/BF4</f>
        <v>4612.4071907200487</v>
      </c>
      <c r="BG12" s="2">
        <f t="shared" ref="BG12" si="74">(BG13-BG23)/BG4</f>
        <v>4606.5003460449307</v>
      </c>
      <c r="BH12" s="2">
        <f t="shared" ref="BH12" si="75">(BH13-BH23)/BH4</f>
        <v>4601.231462201541</v>
      </c>
      <c r="BI12" s="2">
        <f t="shared" ref="BI12" si="76">(BI13-BI23)/BI4</f>
        <v>4574.0949116252641</v>
      </c>
      <c r="BJ12" s="2">
        <f t="shared" ref="BJ12" si="77">(BJ13-BJ23)/BJ4</f>
        <v>4580.1650889395596</v>
      </c>
      <c r="BK12" s="2">
        <f t="shared" ref="BK12" si="78">(BK13-BK23)/BK4</f>
        <v>4616.8464594644738</v>
      </c>
      <c r="BL12" s="2">
        <f t="shared" ref="BL12" si="79">(BL13-BL23)/BL4</f>
        <v>4622.2383394893959</v>
      </c>
      <c r="BM12" s="2">
        <f t="shared" ref="BM12" si="80">(BM13-BM23)/BM4</f>
        <v>4666.9235960901942</v>
      </c>
      <c r="BN12" s="2">
        <f>(BN13-BN23)/BN4</f>
        <v>4529.4820247912112</v>
      </c>
      <c r="BO12" s="154">
        <f>AVERAGE(BC12:BN12)</f>
        <v>4602.0679400199406</v>
      </c>
      <c r="BP12" s="2">
        <f>(BP13-BP23)/BP4</f>
        <v>4587.6348740549111</v>
      </c>
      <c r="BQ12" s="2">
        <f t="shared" ref="BQ12" si="81">(BQ13-BQ23)/BQ4</f>
        <v>4638.3813166720738</v>
      </c>
      <c r="BR12" s="2">
        <f>(BR13-BR23)/BR4</f>
        <v>4612.6048241410845</v>
      </c>
      <c r="BS12" s="2">
        <f t="shared" ref="BS12" si="82">(BS13-BS23)/BS4</f>
        <v>4619.4205018828525</v>
      </c>
      <c r="BT12" s="2">
        <f t="shared" ref="BT12" si="83">(BT13-BT23)/BT4</f>
        <v>4613.3573165931639</v>
      </c>
      <c r="BU12" s="2">
        <f t="shared" ref="BU12" si="84">(BU13-BU23)/BU4</f>
        <v>4607.930072228135</v>
      </c>
      <c r="BV12" s="2">
        <f t="shared" ref="BV12" si="85">(BV13-BV23)/BV4</f>
        <v>4581.0007939605084</v>
      </c>
      <c r="BW12" s="2">
        <f t="shared" ref="BW12" si="86">(BW13-BW23)/BW4</f>
        <v>4586.6641382619246</v>
      </c>
      <c r="BX12" s="2">
        <f t="shared" ref="BX12" si="87">(BX13-BX23)/BX4</f>
        <v>4622.5006434082925</v>
      </c>
      <c r="BY12" s="2">
        <f t="shared" ref="BY12" si="88">(BY13-BY23)/BY4</f>
        <v>4627.6214666595379</v>
      </c>
      <c r="BZ12" s="2">
        <f t="shared" ref="BZ12" si="89">(BZ13-BZ23)/BZ4</f>
        <v>4671.4474382363105</v>
      </c>
      <c r="CA12" s="2">
        <f>(CA13-CA23)/CA4</f>
        <v>4535.8418409387823</v>
      </c>
      <c r="CB12" s="154">
        <f>AVERAGE(BP12:CA12)</f>
        <v>4608.7004355864647</v>
      </c>
      <c r="CC12" s="2">
        <f>(CC13-CC23)/CC4</f>
        <v>4593.2083747175693</v>
      </c>
      <c r="CD12" s="2">
        <f t="shared" ref="CD12" si="90">(CD13-CD23)/CD4</f>
        <v>4642.7537449732081</v>
      </c>
      <c r="CE12" s="2">
        <f>(CE13-CE23)/CE4</f>
        <v>4617.1851180829472</v>
      </c>
      <c r="CF12" s="2">
        <f t="shared" ref="CF12" si="91">(CF13-CF23)/CF4</f>
        <v>4623.7314162003986</v>
      </c>
      <c r="CG12" s="2">
        <f t="shared" ref="CG12" si="92">(CG13-CG23)/CG4</f>
        <v>4617.5778087161852</v>
      </c>
      <c r="CH12" s="2">
        <f t="shared" ref="CH12" si="93">(CH13-CH23)/CH4</f>
        <v>4612.0582549596829</v>
      </c>
      <c r="CI12" s="2">
        <f t="shared" ref="CI12" si="94">(CI13-CI23)/CI4</f>
        <v>4585.2626238428247</v>
      </c>
      <c r="CJ12" s="2">
        <f t="shared" ref="CJ12" si="95">(CJ13-CJ23)/CJ4</f>
        <v>4590.6801883352318</v>
      </c>
      <c r="CK12" s="2">
        <f t="shared" ref="CK12" si="96">(CK13-CK23)/CK4</f>
        <v>4625.9980515559773</v>
      </c>
      <c r="CL12" s="2">
        <f t="shared" ref="CL12" si="97">(CL13-CL23)/CL4</f>
        <v>4630.9542217326034</v>
      </c>
      <c r="CM12" s="2">
        <f t="shared" ref="CM12" si="98">(CM13-CM23)/CM4</f>
        <v>4674.2502091813831</v>
      </c>
      <c r="CN12" s="2">
        <f>(CN13-CN23)/CN4</f>
        <v>4539.7878151979148</v>
      </c>
      <c r="CO12" s="154">
        <f>AVERAGE(CC12:CN12)</f>
        <v>4612.7873189579941</v>
      </c>
      <c r="CP12" s="2">
        <f>(CP13-CP23)/CP4</f>
        <v>4596.6704976565325</v>
      </c>
      <c r="CQ12" s="2">
        <f t="shared" ref="CQ12" si="99">(CQ13-CQ23)/CQ4</f>
        <v>4645.4714692861162</v>
      </c>
      <c r="CR12" s="2">
        <f>(CR13-CR23)/CR4</f>
        <v>4620.0342043273977</v>
      </c>
      <c r="CS12" s="2">
        <f t="shared" ref="CS12" si="100">(CS13-CS23)/CS4</f>
        <v>4626.4153037005508</v>
      </c>
      <c r="CT12" s="2">
        <f t="shared" ref="CT12" si="101">(CT13-CT23)/CT4</f>
        <v>4620.2075878320411</v>
      </c>
      <c r="CU12" s="2">
        <f t="shared" ref="CU12" si="102">(CU13-CU23)/CU4</f>
        <v>4614.6325084651144</v>
      </c>
      <c r="CV12" s="2">
        <f t="shared" ref="CV12" si="103">(CV13-CV23)/CV4</f>
        <v>4587.9225026595896</v>
      </c>
      <c r="CW12" s="2">
        <f t="shared" ref="CW12" si="104">(CW13-CW23)/CW4</f>
        <v>4593.1887212322044</v>
      </c>
      <c r="CX12" s="2">
        <f t="shared" ref="CX12" si="105">(CX13-CX23)/CX4</f>
        <v>4628.18396078553</v>
      </c>
      <c r="CY12" s="2">
        <f t="shared" ref="CY12" si="106">(CY13-CY23)/CY4</f>
        <v>4633.038390919327</v>
      </c>
      <c r="CZ12" s="2">
        <f t="shared" ref="CZ12" si="107">(CZ13-CZ23)/CZ4</f>
        <v>4676.003729399572</v>
      </c>
      <c r="DA12" s="2">
        <f>(DA13-DA23)/DA4</f>
        <v>4542.2587947465881</v>
      </c>
      <c r="DB12" s="154">
        <f>AVERAGE(CP12:DA12)</f>
        <v>4615.3356392508804</v>
      </c>
      <c r="DC12" s="2">
        <f>(DC13-DC23)/DC4</f>
        <v>4598.8400584548936</v>
      </c>
      <c r="DD12" s="2">
        <f t="shared" ref="DD12" si="108">(DD13-DD23)/DD4</f>
        <v>4647.1752040788351</v>
      </c>
      <c r="DE12" s="2">
        <f>(DE13-DE23)/DE4</f>
        <v>4621.8211352343005</v>
      </c>
      <c r="DF12" s="2">
        <f t="shared" ref="DF12" si="109">(DF13-DF23)/DF4</f>
        <v>4628.0995490357773</v>
      </c>
      <c r="DG12" s="2">
        <f t="shared" ref="DG12" si="110">(DG13-DG23)/DG4</f>
        <v>4621.8587358199329</v>
      </c>
      <c r="DH12" s="2">
        <f t="shared" ref="DH12" si="111">(DH13-DH23)/DH4</f>
        <v>4616.2495762474864</v>
      </c>
      <c r="DI12" s="2">
        <f t="shared" ref="DI12" si="112">(DI13-DI23)/DI4</f>
        <v>4589.5942564419329</v>
      </c>
      <c r="DJ12" s="2">
        <f t="shared" ref="DJ12" si="113">(DJ13-DJ23)/DJ4</f>
        <v>4594.7661598394052</v>
      </c>
      <c r="DK12" s="2">
        <f t="shared" ref="DK12" si="114">(DK13-DK23)/DK4</f>
        <v>4629.5590499650953</v>
      </c>
      <c r="DL12" s="2">
        <f>(DL13-DL23)/DL4</f>
        <v>4634.349939812193</v>
      </c>
      <c r="DM12" s="2">
        <f t="shared" ref="DM12" si="115">(DM13-DM23)/DM4</f>
        <v>4677.1075123376822</v>
      </c>
      <c r="DN12" s="2">
        <f>(DN13-DN23)/DN4</f>
        <v>4543.8150749914303</v>
      </c>
      <c r="DO12" s="154">
        <f>AVERAGE(DC12:DN12)</f>
        <v>4616.9363543549125</v>
      </c>
      <c r="DP12" s="2">
        <f>(DP13-DP23)/DP4</f>
        <v>4600.2071194094196</v>
      </c>
      <c r="DQ12" s="2">
        <f t="shared" ref="DQ12" si="116">(DQ13-DQ23)/DQ4</f>
        <v>4648.2490033302411</v>
      </c>
      <c r="DR12" s="2">
        <f>(DR13-DR23)/DR4</f>
        <v>4622.9477048402423</v>
      </c>
      <c r="DS12" s="2">
        <f>(DS13-DS23)/DS4</f>
        <v>4629.161747777719</v>
      </c>
      <c r="DT12" s="2">
        <f t="shared" ref="DT12" si="117">(DT13-DT23)/DT4</f>
        <v>4622.9004015040837</v>
      </c>
      <c r="DU12" s="2">
        <f t="shared" ref="DU12" si="118">(DU13-DU23)/DU4</f>
        <v>4617.2700523079711</v>
      </c>
      <c r="DV12" s="2">
        <f t="shared" ref="DV12" si="119">(DV13-DV23)/DV4</f>
        <v>4590.6496001276055</v>
      </c>
      <c r="DW12" s="2">
        <f t="shared" ref="DW12" si="120">(DW13-DW23)/DW4</f>
        <v>4595.7622851861006</v>
      </c>
      <c r="DX12" s="2">
        <f t="shared" ref="DX12" si="121">(DX13-DX23)/DX4</f>
        <v>4630.4276043365608</v>
      </c>
      <c r="DY12" s="2">
        <f t="shared" ref="DY12" si="122">(DY13-DY23)/DY4</f>
        <v>4635.1785435765787</v>
      </c>
      <c r="DZ12" s="2">
        <f t="shared" ref="DZ12" si="123">(DZ13-DZ23)/DZ4</f>
        <v>4677.8049776370672</v>
      </c>
      <c r="EA12" s="2">
        <f>(EA13-EA23)/EA4</f>
        <v>4544.7988180820093</v>
      </c>
      <c r="EB12" s="164">
        <f>AVERAGE(DP12:EA12)</f>
        <v>4617.9464881762997</v>
      </c>
    </row>
    <row r="13" spans="1:132" s="95" customFormat="1" ht="36" customHeight="1">
      <c r="A13" s="373" t="s">
        <v>169</v>
      </c>
      <c r="B13" s="374"/>
      <c r="C13" s="92"/>
      <c r="D13" s="92"/>
      <c r="E13" s="92"/>
      <c r="F13" s="92"/>
      <c r="G13" s="92">
        <f>SUM(G14:G21)</f>
        <v>3209520</v>
      </c>
      <c r="H13" s="92">
        <f>SUM(H14:H21)</f>
        <v>3381200</v>
      </c>
      <c r="I13" s="92">
        <f>SUM(I14:I21)</f>
        <v>3752393.6</v>
      </c>
      <c r="J13" s="92">
        <f>SUM(J14:J21)</f>
        <v>4081936.8703999994</v>
      </c>
      <c r="K13" s="92">
        <f t="shared" ref="K13:N13" si="124">SUM(K14:K21)</f>
        <v>4453523.916825599</v>
      </c>
      <c r="L13" s="92">
        <f t="shared" si="124"/>
        <v>4643126.3211999992</v>
      </c>
      <c r="M13" s="92">
        <f t="shared" si="124"/>
        <v>4706406.9396667993</v>
      </c>
      <c r="N13" s="92">
        <f t="shared" si="124"/>
        <v>4795089.2215024596</v>
      </c>
      <c r="O13" s="93">
        <f>SUM(C13:N13)</f>
        <v>33023196.869594857</v>
      </c>
      <c r="P13" s="92">
        <f>SUM(P14:P21)</f>
        <v>4958490.1560918447</v>
      </c>
      <c r="Q13" s="92">
        <f t="shared" ref="Q13" si="125">SUM(Q14:Q21)</f>
        <v>5030246.4947555279</v>
      </c>
      <c r="R13" s="92">
        <f t="shared" ref="R13" si="126">SUM(R14:R21)</f>
        <v>4639746.8295020182</v>
      </c>
      <c r="S13" s="92">
        <f t="shared" ref="S13" si="127">SUM(S14:S21)</f>
        <v>5147075.1125154234</v>
      </c>
      <c r="T13" s="92">
        <f t="shared" ref="T13" si="128">SUM(T14:T21)</f>
        <v>4954266.3262271993</v>
      </c>
      <c r="U13" s="92">
        <f t="shared" ref="U13" si="129">SUM(U14:U21)</f>
        <v>4997522.6641567936</v>
      </c>
      <c r="V13" s="92">
        <f t="shared" ref="V13" si="130">SUM(V14:V21)</f>
        <v>5342643.2855829922</v>
      </c>
      <c r="W13" s="92">
        <f t="shared" ref="W13" si="131">SUM(W14:W21)</f>
        <v>5369089.7080164207</v>
      </c>
      <c r="X13" s="92">
        <f>SUM(X14:X21)</f>
        <v>5505139.5008198125</v>
      </c>
      <c r="Y13" s="92">
        <f t="shared" ref="Y13" si="132">SUM(Y14:Y21)</f>
        <v>5594324.28328948</v>
      </c>
      <c r="Z13" s="92">
        <f t="shared" ref="Z13" si="133">SUM(Z14:Z21)</f>
        <v>5498813.900807769</v>
      </c>
      <c r="AA13" s="92">
        <f t="shared" ref="AA13" si="134">SUM(AA14:AA21)</f>
        <v>5581587.9464778826</v>
      </c>
      <c r="AB13" s="93">
        <f>SUM(P13:AA13)</f>
        <v>62618946.208243154</v>
      </c>
      <c r="AC13" s="92">
        <f>SUM(AC14:AC21)</f>
        <v>5735385.1924582003</v>
      </c>
      <c r="AD13" s="92">
        <f>SUM(AD14:AD21)</f>
        <v>5778733.3163372474</v>
      </c>
      <c r="AE13" s="92">
        <f t="shared" ref="AE13" si="135">SUM(AE14:AE21)</f>
        <v>5752150.58363277</v>
      </c>
      <c r="AF13" s="92">
        <f t="shared" ref="AF13" si="136">SUM(AF14:AF21)</f>
        <v>6065690.3560383571</v>
      </c>
      <c r="AG13" s="92">
        <f t="shared" ref="AG13" si="137">SUM(AG14:AG21)</f>
        <v>5928285.3244959209</v>
      </c>
      <c r="AH13" s="92">
        <f t="shared" ref="AH13" si="138">SUM(AH14:AH21)</f>
        <v>6065065.5930895703</v>
      </c>
      <c r="AI13" s="92">
        <f t="shared" ref="AI13" si="139">SUM(AI14:AI21)</f>
        <v>6091869.2845452568</v>
      </c>
      <c r="AJ13" s="92">
        <f t="shared" ref="AJ13" si="140">SUM(AJ14:AJ21)</f>
        <v>6106665.6522170827</v>
      </c>
      <c r="AK13" s="92">
        <f>SUM(AK14:AK21)</f>
        <v>6098492.7030850518</v>
      </c>
      <c r="AL13" s="92">
        <f t="shared" ref="AL13" si="141">SUM(AL14:AL21)</f>
        <v>6144468.5770709049</v>
      </c>
      <c r="AM13" s="92">
        <f t="shared" ref="AM13" si="142">SUM(AM14:AM21)</f>
        <v>6081771.0861192811</v>
      </c>
      <c r="AN13" s="92">
        <f t="shared" ref="AN13" si="143">SUM(AN14:AN21)</f>
        <v>6049976.5383328665</v>
      </c>
      <c r="AO13" s="93">
        <f>SUM(AC13:AN13)</f>
        <v>71898554.20742251</v>
      </c>
      <c r="AP13" s="92">
        <f>SUM(AP14:AP21)</f>
        <v>5975029.0824788138</v>
      </c>
      <c r="AQ13" s="92">
        <f t="shared" ref="AQ13" si="144">SUM(AQ14:AQ21)</f>
        <v>6077357.4428908136</v>
      </c>
      <c r="AR13" s="92">
        <f t="shared" ref="AR13" si="145">SUM(AR14:AR21)</f>
        <v>5959799.6143038515</v>
      </c>
      <c r="AS13" s="92">
        <f t="shared" ref="AS13" si="146">SUM(AS14:AS21)</f>
        <v>5999873.4877746105</v>
      </c>
      <c r="AT13" s="92">
        <f t="shared" ref="AT13" si="147">SUM(AT14:AT21)</f>
        <v>6018305.3239269499</v>
      </c>
      <c r="AU13" s="92">
        <f t="shared" ref="AU13" si="148">SUM(AU14:AU21)</f>
        <v>6029188.1725416528</v>
      </c>
      <c r="AV13" s="92">
        <f t="shared" ref="AV13" si="149">SUM(AV14:AV21)</f>
        <v>6047876.7061576117</v>
      </c>
      <c r="AW13" s="92">
        <f t="shared" ref="AW13" si="150">SUM(AW14:AW21)</f>
        <v>6107324.3176297806</v>
      </c>
      <c r="AX13" s="92">
        <f>SUM(AX14:AX21)</f>
        <v>6146065.554677479</v>
      </c>
      <c r="AY13" s="92">
        <f t="shared" ref="AY13" si="151">SUM(AY14:AY21)</f>
        <v>6133233.4299544115</v>
      </c>
      <c r="AZ13" s="92">
        <f t="shared" ref="AZ13" si="152">SUM(AZ14:AZ21)</f>
        <v>6134376.573846098</v>
      </c>
      <c r="BA13" s="92">
        <f t="shared" ref="BA13" si="153">SUM(BA14:BA21)</f>
        <v>6079484.1590137919</v>
      </c>
      <c r="BB13" s="93">
        <f t="shared" ref="BB13:BB58" si="154">SUM(AP13:BA13)</f>
        <v>72707913.865195855</v>
      </c>
      <c r="BC13" s="92">
        <f>SUM(BC14:BC21)</f>
        <v>6225056.2013726328</v>
      </c>
      <c r="BD13" s="92">
        <f t="shared" ref="BD13" si="155">SUM(BD14:BD21)</f>
        <v>6231356.1563900625</v>
      </c>
      <c r="BE13" s="92">
        <f t="shared" ref="BE13" si="156">SUM(BE14:BE21)</f>
        <v>6179488.7210036302</v>
      </c>
      <c r="BF13" s="92">
        <f t="shared" ref="BF13" si="157">SUM(BF14:BF21)</f>
        <v>6211434.0975264944</v>
      </c>
      <c r="BG13" s="92">
        <f t="shared" ref="BG13" si="158">SUM(BG14:BG21)</f>
        <v>6222038.1911180168</v>
      </c>
      <c r="BH13" s="92">
        <f t="shared" ref="BH13" si="159">SUM(BH14:BH21)</f>
        <v>6225382.9236466512</v>
      </c>
      <c r="BI13" s="92">
        <f t="shared" ref="BI13" si="160">SUM(BI14:BI21)</f>
        <v>6236812.2514717244</v>
      </c>
      <c r="BJ13" s="92">
        <f t="shared" ref="BJ13" si="161">SUM(BJ14:BJ21)</f>
        <v>6289269.2477672696</v>
      </c>
      <c r="BK13" s="92">
        <f>SUM(BK14:BK21)</f>
        <v>6321278.52239988</v>
      </c>
      <c r="BL13" s="92">
        <f t="shared" ref="BL13" si="162">SUM(BL14:BL21)</f>
        <v>6301963.5178710856</v>
      </c>
      <c r="BM13" s="92">
        <f t="shared" ref="BM13" si="163">SUM(BM14:BM21)</f>
        <v>6296863.6485098545</v>
      </c>
      <c r="BN13" s="92">
        <f t="shared" ref="BN13" si="164">SUM(BN14:BN21)</f>
        <v>6235959.2119149901</v>
      </c>
      <c r="BO13" s="93">
        <f t="shared" ref="BO13:BO58" si="165">SUM(BC13:BN13)</f>
        <v>74976902.690992296</v>
      </c>
      <c r="BP13" s="92">
        <f>SUM(BP14:BP21)</f>
        <v>6376480.330359159</v>
      </c>
      <c r="BQ13" s="92">
        <f t="shared" ref="BQ13" si="166">SUM(BQ14:BQ21)</f>
        <v>6376466.2697239928</v>
      </c>
      <c r="BR13" s="92">
        <f t="shared" ref="BR13" si="167">SUM(BR14:BR21)</f>
        <v>6319229.7601442058</v>
      </c>
      <c r="BS13" s="92">
        <f t="shared" ref="BS13" si="168">SUM(BS14:BS21)</f>
        <v>6346004.7182188705</v>
      </c>
      <c r="BT13" s="92">
        <f t="shared" ref="BT13" si="169">SUM(BT14:BT21)</f>
        <v>6351629.6988447728</v>
      </c>
      <c r="BU13" s="92">
        <f t="shared" ref="BU13" si="170">SUM(BU14:BU21)</f>
        <v>6350179.5455875155</v>
      </c>
      <c r="BV13" s="92">
        <f t="shared" ref="BV13" si="171">SUM(BV14:BV21)</f>
        <v>6356991.398400778</v>
      </c>
      <c r="BW13" s="92">
        <f t="shared" ref="BW13" si="172">SUM(BW14:BW21)</f>
        <v>6405001.7662599478</v>
      </c>
      <c r="BX13" s="92">
        <f>SUM(BX14:BX21)</f>
        <v>6432728.9377083313</v>
      </c>
      <c r="BY13" s="92">
        <f t="shared" ref="BY13" si="173">SUM(BY14:BY21)</f>
        <v>6409290.267813121</v>
      </c>
      <c r="BZ13" s="92">
        <f t="shared" ref="BZ13" si="174">SUM(BZ14:BZ21)</f>
        <v>6400219.3087040354</v>
      </c>
      <c r="CA13" s="92">
        <f t="shared" ref="CA13" si="175">SUM(CA14:CA21)</f>
        <v>6335490.7126819855</v>
      </c>
      <c r="CB13" s="93">
        <f t="shared" ref="CB13:CB23" si="176">SUM(BP13:CA13)</f>
        <v>76459712.714446709</v>
      </c>
      <c r="CC13" s="92">
        <f>SUM(CC14:CC21)</f>
        <v>6472799.0120334886</v>
      </c>
      <c r="CD13" s="92">
        <f t="shared" ref="CD13" si="177">SUM(CD14:CD21)</f>
        <v>6468768.6980587812</v>
      </c>
      <c r="CE13" s="92">
        <f t="shared" ref="CE13" si="178">SUM(CE14:CE21)</f>
        <v>6408116.9986306066</v>
      </c>
      <c r="CF13" s="92">
        <f t="shared" ref="CF13" si="179">SUM(CF14:CF21)</f>
        <v>6431603.1288812738</v>
      </c>
      <c r="CG13" s="92">
        <f t="shared" ref="CG13" si="180">SUM(CG14:CG21)</f>
        <v>6434060.9683126677</v>
      </c>
      <c r="CH13" s="92">
        <f t="shared" ref="CH13" si="181">SUM(CH14:CH21)</f>
        <v>6429560.8580850987</v>
      </c>
      <c r="CI13" s="92">
        <f t="shared" ref="CI13" si="182">SUM(CI14:CI21)</f>
        <v>6433435.6023359494</v>
      </c>
      <c r="CJ13" s="92">
        <f t="shared" ref="CJ13" si="183">SUM(CJ14:CJ21)</f>
        <v>6478617.5346495202</v>
      </c>
      <c r="CK13" s="92">
        <f>SUM(CK14:CK21)</f>
        <v>6503620.9226674866</v>
      </c>
      <c r="CL13" s="92">
        <f t="shared" ref="CL13" si="184">SUM(CL14:CL21)</f>
        <v>6477559.2493287893</v>
      </c>
      <c r="CM13" s="92">
        <f t="shared" ref="CM13" si="185">SUM(CM14:CM21)</f>
        <v>6465962.3379036244</v>
      </c>
      <c r="CN13" s="92">
        <f t="shared" ref="CN13" si="186">SUM(CN14:CN21)</f>
        <v>6398801.2498011906</v>
      </c>
      <c r="CO13" s="93">
        <f t="shared" ref="CO13:CO58" si="187">SUM(CC13:CN13)</f>
        <v>77402906.560688481</v>
      </c>
      <c r="CP13" s="92">
        <f>SUM(CP14:CP21)</f>
        <v>6534065.9217497492</v>
      </c>
      <c r="CQ13" s="92">
        <f t="shared" ref="CQ13" si="188">SUM(CQ14:CQ21)</f>
        <v>6527480.9275564812</v>
      </c>
      <c r="CR13" s="92">
        <f t="shared" ref="CR13" si="189">SUM(CR14:CR21)</f>
        <v>6464656.8756368905</v>
      </c>
      <c r="CS13" s="92">
        <f t="shared" ref="CS13" si="190">SUM(CS14:CS21)</f>
        <v>6486051.0304383272</v>
      </c>
      <c r="CT13" s="92">
        <f t="shared" ref="CT13" si="191">SUM(CT14:CT21)</f>
        <v>6486494.2975121094</v>
      </c>
      <c r="CU13" s="92">
        <f t="shared" ref="CU13" si="192">SUM(CU14:CU21)</f>
        <v>6480054.154104162</v>
      </c>
      <c r="CV13" s="92">
        <f t="shared" ref="CV13" si="193">SUM(CV14:CV21)</f>
        <v>6482060.6464023069</v>
      </c>
      <c r="CW13" s="92">
        <f t="shared" ref="CW13" si="194">SUM(CW14:CW21)</f>
        <v>6525443.4520854224</v>
      </c>
      <c r="CX13" s="92">
        <f>SUM(CX14:CX21)</f>
        <v>6548714.2811582601</v>
      </c>
      <c r="CY13" s="92">
        <f t="shared" ref="CY13" si="195">SUM(CY14:CY21)</f>
        <v>6520984.1535554053</v>
      </c>
      <c r="CZ13" s="92">
        <f t="shared" ref="CZ13" si="196">SUM(CZ14:CZ21)</f>
        <v>6507780.5206738552</v>
      </c>
      <c r="DA13" s="92">
        <f t="shared" ref="DA13" si="197">SUM(DA14:DA21)</f>
        <v>6439072.1598089216</v>
      </c>
      <c r="DB13" s="93">
        <f t="shared" ref="DB13:DB58" si="198">SUM(CP13:DA13)</f>
        <v>78002858.420681894</v>
      </c>
      <c r="DC13" s="92">
        <f>SUM(DC14:DC21)</f>
        <v>6573036.9101491952</v>
      </c>
      <c r="DD13" s="92">
        <f t="shared" ref="DD13" si="199">SUM(DD14:DD21)</f>
        <v>6564826.9210994393</v>
      </c>
      <c r="DE13" s="92">
        <f t="shared" ref="DE13" si="200">SUM(DE14:DE21)</f>
        <v>6500621.0674187616</v>
      </c>
      <c r="DF13" s="92">
        <f t="shared" ref="DF13" si="201">SUM(DF14:DF21)</f>
        <v>6520684.5471242676</v>
      </c>
      <c r="DG13" s="92">
        <f t="shared" ref="DG13" si="202">SUM(DG14:DG21)</f>
        <v>6519846.3740806701</v>
      </c>
      <c r="DH13" s="92">
        <f t="shared" ref="DH13" si="203">SUM(DH14:DH21)</f>
        <v>6512172.2038396858</v>
      </c>
      <c r="DI13" s="92">
        <f t="shared" ref="DI13" si="204">SUM(DI14:DI21)</f>
        <v>6512990.3282976169</v>
      </c>
      <c r="DJ13" s="92">
        <f t="shared" ref="DJ13" si="205">SUM(DJ14:DJ21)</f>
        <v>6555228.7357506063</v>
      </c>
      <c r="DK13" s="92">
        <f>SUM(DK14:DK21)</f>
        <v>6577397.5093278345</v>
      </c>
      <c r="DL13" s="92">
        <f t="shared" ref="DL13" si="206">SUM(DL14:DL21)</f>
        <v>6548606.1022827029</v>
      </c>
      <c r="DM13" s="92">
        <f t="shared" ref="DM13" si="207">SUM(DM14:DM21)</f>
        <v>6534380.4572982416</v>
      </c>
      <c r="DN13" s="92">
        <f t="shared" ref="DN13" si="208">SUM(DN14:DN21)</f>
        <v>6464687.8987782076</v>
      </c>
      <c r="DO13" s="93">
        <f t="shared" ref="DO13:DO58" si="209">SUM(DC13:DN13)</f>
        <v>78384479.055447221</v>
      </c>
      <c r="DP13" s="92">
        <f>SUM(DP14:DP21)</f>
        <v>6597825.787927812</v>
      </c>
      <c r="DQ13" s="92">
        <f t="shared" ref="DQ13" si="210">SUM(DQ14:DQ21)</f>
        <v>6588582.1633316483</v>
      </c>
      <c r="DR13" s="92">
        <f t="shared" ref="DR13" si="211">SUM(DR14:DR21)</f>
        <v>6523497.3656883761</v>
      </c>
      <c r="DS13" s="92">
        <f t="shared" ref="DS13" si="212">SUM(DS14:DS21)</f>
        <v>6542714.4223579075</v>
      </c>
      <c r="DT13" s="92">
        <f t="shared" ref="DT13" si="213">SUM(DT14:DT21)</f>
        <v>6541061.1439306643</v>
      </c>
      <c r="DU13" s="92">
        <f t="shared" ref="DU13" si="214">SUM(DU14:DU21)</f>
        <v>6532602.0272052307</v>
      </c>
      <c r="DV13" s="92">
        <f t="shared" ref="DV13" si="215">SUM(DV14:DV21)</f>
        <v>6532664.2481986377</v>
      </c>
      <c r="DW13" s="92">
        <f t="shared" ref="DW13" si="216">SUM(DW14:DW21)</f>
        <v>6574174.7206152864</v>
      </c>
      <c r="DX13" s="92">
        <f>SUM(DX14:DX21)</f>
        <v>6595642.4927525213</v>
      </c>
      <c r="DY13" s="92">
        <f t="shared" ref="DY13" si="217">SUM(DY14:DY21)</f>
        <v>6566176.0213206764</v>
      </c>
      <c r="DZ13" s="92">
        <f t="shared" ref="DZ13" si="218">SUM(DZ14:DZ21)</f>
        <v>6551300.2893318115</v>
      </c>
      <c r="EA13" s="92">
        <f t="shared" ref="EA13" si="219">SUM(EA14:EA21)</f>
        <v>6480981.697026534</v>
      </c>
      <c r="EB13" s="94">
        <f t="shared" ref="EB13:EB58" si="220">SUM(DP13:EA13)</f>
        <v>78627222.379687116</v>
      </c>
    </row>
    <row r="14" spans="1:132" s="7" customFormat="1" ht="24" customHeight="1">
      <c r="A14" s="165"/>
      <c r="B14" s="166" t="s">
        <v>46</v>
      </c>
      <c r="C14" s="167"/>
      <c r="D14" s="167"/>
      <c r="E14" s="167"/>
      <c r="F14" s="167"/>
      <c r="G14" s="167">
        <f>(F6*各種シミュレーション!$F$3)*0.5</f>
        <v>104000</v>
      </c>
      <c r="H14" s="167">
        <f>(G6*各種シミュレーション!$F$3)*0.5</f>
        <v>128000</v>
      </c>
      <c r="I14" s="167">
        <f>(H6*各種シミュレーション!$F$3)*0.5</f>
        <v>129600</v>
      </c>
      <c r="J14" s="167">
        <f>(I6*各種シミュレーション!$F$3)*0.5</f>
        <v>65600.000000000015</v>
      </c>
      <c r="K14" s="167">
        <f>(J6*各種シミュレーション!$F$3)*0.5</f>
        <v>174400</v>
      </c>
      <c r="L14" s="167">
        <f>(K6*各種シミュレーション!$F$3)*0.5</f>
        <v>139200.00000000003</v>
      </c>
      <c r="M14" s="167">
        <f>(L6*各種シミュレーション!$F$3)*0.5</f>
        <v>107200</v>
      </c>
      <c r="N14" s="167">
        <f>(M6*各種シミュレーション!$F$3)*0.5</f>
        <v>78400</v>
      </c>
      <c r="O14" s="169">
        <f>SUM(C14:N14)</f>
        <v>926400</v>
      </c>
      <c r="P14" s="167">
        <f>(N6*各種シミュレーション!$F$3)*0.5</f>
        <v>48000</v>
      </c>
      <c r="Q14" s="167">
        <f>(P6*各種シミュレーション!$F$3)*0.5</f>
        <v>201600.00000000003</v>
      </c>
      <c r="R14" s="167">
        <f>(Q6*各種シミュレーション!$F$3)*0.5</f>
        <v>89600.000000000015</v>
      </c>
      <c r="S14" s="167">
        <f>(R6*各種シミュレーション!$F$3)*0.5</f>
        <v>124800.00000000001</v>
      </c>
      <c r="T14" s="167">
        <f>(S6*各種シミュレーション!$F$3)*0.5</f>
        <v>144000</v>
      </c>
      <c r="U14" s="167">
        <f>(T6*各種シミュレーション!$F$3)*0.5</f>
        <v>89600.000000000015</v>
      </c>
      <c r="V14" s="167">
        <f>(U6*各種シミュレーション!$F$3)*0.5</f>
        <v>84800.000000000015</v>
      </c>
      <c r="W14" s="167">
        <f>(V6*各種シミュレーション!$F$3)*0.5</f>
        <v>97600.000000000015</v>
      </c>
      <c r="X14" s="167">
        <f>(W6*各種シミュレーション!$F$3)*0.5</f>
        <v>206400</v>
      </c>
      <c r="Y14" s="167">
        <f>(X6*各種シミュレーション!$F$3)*0.5</f>
        <v>104000</v>
      </c>
      <c r="Z14" s="167">
        <f>(Y6*各種シミュレーション!$F$3)*0.5</f>
        <v>80000</v>
      </c>
      <c r="AA14" s="167">
        <f>(Z6*各種シミュレーション!$F$3)*0.5</f>
        <v>110400</v>
      </c>
      <c r="AB14" s="169">
        <f t="shared" ref="AB14:AB58" si="221">SUM(P14:AA14)</f>
        <v>1380800</v>
      </c>
      <c r="AC14" s="167">
        <f>(AA6*各種シミュレーション!$F$3)*0.5</f>
        <v>80000</v>
      </c>
      <c r="AD14" s="167">
        <f>(AC6*各種シミュレーション!$F$3)*0.5</f>
        <v>113600.00000000001</v>
      </c>
      <c r="AE14" s="167">
        <f>((AD6*各種シミュレーション!$F$3)*各種シミュレーション!$F$9+(AD6*各種シミュレーション!$F$4)*各種シミュレーション!$F$10)*0.5</f>
        <v>109200</v>
      </c>
      <c r="AF14" s="167">
        <f>((AE6*各種シミュレーション!$F$3)*各種シミュレーション!$F$9+(AE6*各種シミュレーション!$F$4)*各種シミュレーション!$F$10)*0.5</f>
        <v>123240</v>
      </c>
      <c r="AG14" s="167">
        <f>((AF6*各種シミュレーション!$F$3)*各種シミュレーション!$F$9+(AF6*各種シミュレーション!$F$4)*各種シミュレーション!$F$10)*0.5</f>
        <v>87360.000000000015</v>
      </c>
      <c r="AH14" s="167">
        <f>((AG6*各種シミュレーション!$F$3)*各種シミュレーション!$F$9+(AG6*各種シミュレーション!$F$4)*各種シミュレーション!$F$10)*0.5</f>
        <v>129480</v>
      </c>
      <c r="AI14" s="167">
        <f>((AH6*各種シミュレーション!$F$3)*各種シミュレーション!$F$9+(AH6*各種シミュレーション!$F$4)*各種シミュレーション!$F$10)*0.5</f>
        <v>117000</v>
      </c>
      <c r="AJ14" s="167">
        <f>((AI6*各種シミュレーション!$F$3)*各種シミュレーション!$F$9+(AI6*各種シミュレーション!$F$4)*各種シミュレーション!$F$10)*0.5</f>
        <v>93600</v>
      </c>
      <c r="AK14" s="167">
        <f>((AJ6*各種シミュレーション!$F$3)*各種シミュレーション!$F$9+(AJ6*各種シミュレーション!$F$4)*各種シミュレーション!$F$10)*0.5</f>
        <v>79560.000000000015</v>
      </c>
      <c r="AL14" s="167">
        <f>((AK6*各種シミュレーション!$F$3)*各種シミュレーション!$F$9+(AK6*各種シミュレーション!$F$4)*各種シミュレーション!$F$10)*0.5</f>
        <v>102960.00000000001</v>
      </c>
      <c r="AM14" s="167">
        <f>((AL6*各種シミュレーション!$F$3)*各種シミュレーション!$F$9+(AL6*各種シミュレーション!$F$4)*各種シミュレーション!$F$10)*0.5</f>
        <v>74880.000000000015</v>
      </c>
      <c r="AN14" s="167">
        <f>((AM6*各種シミュレーション!$F$3)*各種シミュレーション!$F$9+(AM6*各種シミュレーション!$F$4)*各種シミュレーション!$F$10)*0.5</f>
        <v>67080</v>
      </c>
      <c r="AO14" s="169">
        <f t="shared" ref="AO14:AO58" si="222">SUM(AC14:AN14)</f>
        <v>1177960</v>
      </c>
      <c r="AP14" s="170">
        <f>((AN6*各種シミュレーション!$F$3)*各種シミュレーション!$F$9+(AN6*各種シミュレーション!$F$4)*各種シミュレーション!$F$10)*0.5</f>
        <v>57720</v>
      </c>
      <c r="AQ14" s="167">
        <f>((AP6*各種シミュレーション!$F$3)*各種シミュレーション!$F$9+(AP6*各種シミュレーション!$F$4)*各種シミュレーション!$F$10)*0.5</f>
        <v>121680.00000000001</v>
      </c>
      <c r="AR14" s="167">
        <f>((AQ6*各種シミュレーション!$F$3)*各種シミュレーション!$F$9+(AQ6*各種シミュレーション!$F$4)*各種シミュレーション!$F$10)*0.5</f>
        <v>67080</v>
      </c>
      <c r="AS14" s="167">
        <f>((AR6*各種シミュレーション!$F$3)*各種シミュレーション!$F$9+(AR6*各種シミュレーション!$F$4)*各種シミュレーション!$F$10)*0.5</f>
        <v>84240</v>
      </c>
      <c r="AT14" s="167">
        <f>((AS6*各種シミュレーション!$F$3)*各種シミュレーション!$F$9+(AS6*各種シミュレーション!$F$4)*各種シミュレーション!$F$10)*0.5</f>
        <v>101400</v>
      </c>
      <c r="AU14" s="167">
        <f>((AT6*各種シミュレーション!$F$3)*各種シミュレーション!$F$9+(AT6*各種シミュレーション!$F$4)*各種シミュレーション!$F$10)*0.5</f>
        <v>99840</v>
      </c>
      <c r="AV14" s="167">
        <f>((AU6*各種シミュレーション!$F$3)*各種シミュレーション!$F$9+(AU6*各種シミュレーション!$F$4)*各種シミュレーション!$F$10)*0.5</f>
        <v>96720</v>
      </c>
      <c r="AW14" s="167">
        <f>((AV6*各種シミュレーション!$F$3)*各種シミュレーション!$F$9+(AV6*各種シミュレーション!$F$4)*各種シミュレーション!$F$10)*0.5</f>
        <v>112320</v>
      </c>
      <c r="AX14" s="167">
        <f>((AW6*各種シミュレーション!$F$3)*各種シミュレーション!$F$9+(AW6*各種シミュレーション!$F$4)*各種シミュレーション!$F$10)*0.5</f>
        <v>112320</v>
      </c>
      <c r="AY14" s="167">
        <f>((AX6*各種シミュレーション!$F$3)*各種シミュレーション!$F$9+(AX6*各種シミュレーション!$F$4)*各種シミュレーション!$F$10)*0.5</f>
        <v>87360.000000000015</v>
      </c>
      <c r="AZ14" s="167">
        <f>((AY6*各種シミュレーション!$F$3)*各種シミュレーション!$F$9+(AY6*各種シミュレーション!$F$4)*各種シミュレーション!$F$10)*0.5</f>
        <v>82680.000000000015</v>
      </c>
      <c r="BA14" s="167">
        <f>((AZ6*各種シミュレーション!$F$3)*各種シミュレーション!$F$9+(AZ6*各種シミュレーション!$F$4)*各種シミュレーション!$F$10)*0.5</f>
        <v>67080</v>
      </c>
      <c r="BB14" s="169">
        <f t="shared" si="154"/>
        <v>1090440</v>
      </c>
      <c r="BC14" s="170">
        <f>((BA6*各種シミュレーション!$F$3)*各種シミュレーション!$F$9+(BA6*各種シミュレーション!$F$4)*各種シミュレーション!$F$10)*0.5</f>
        <v>141960</v>
      </c>
      <c r="BD14" s="167">
        <f>((BC6*各種シミュレーション!$F$3)*各種シミュレーション!$F$9+(BC6*各種シミュレーション!$F$4)*各種シミュレーション!$F$10)*0.5</f>
        <v>121680.00000000001</v>
      </c>
      <c r="BE14" s="167">
        <f>((BD6*各種シミュレーション!$F$3)*各種シミュレーション!$F$9+(BD6*各種シミュレーション!$F$4)*各種シミュレーション!$F$10)*0.5</f>
        <v>67080</v>
      </c>
      <c r="BF14" s="167">
        <f>((BE6*各種シミュレーション!$F$3)*各種シミュレーション!$F$9+(BE6*各種シミュレーション!$F$4)*各種シミュレーション!$F$10)*0.5</f>
        <v>84240</v>
      </c>
      <c r="BG14" s="167">
        <f>((BF6*各種シミュレーション!$F$3)*各種シミュレーション!$F$9+(BF6*各種シミュレーション!$F$4)*各種シミュレーション!$F$10)*0.5</f>
        <v>101400</v>
      </c>
      <c r="BH14" s="167">
        <f>((BG6*各種シミュレーション!$F$3)*各種シミュレーション!$F$9+(BG6*各種シミュレーション!$F$4)*各種シミュレーション!$F$10)*0.5</f>
        <v>99840</v>
      </c>
      <c r="BI14" s="167">
        <f>((BH6*各種シミュレーション!$F$3)*各種シミュレーション!$F$9+(BH6*各種シミュレーション!$F$4)*各種シミュレーション!$F$10)*0.5</f>
        <v>96720</v>
      </c>
      <c r="BJ14" s="167">
        <f>((BI6*各種シミュレーション!$F$3)*各種シミュレーション!$F$9+(BI6*各種シミュレーション!$F$4)*各種シミュレーション!$F$10)*0.5</f>
        <v>112320</v>
      </c>
      <c r="BK14" s="167">
        <f>((BJ6*各種シミュレーション!$F$3)*各種シミュレーション!$F$9+(BJ6*各種シミュレーション!$F$4)*各種シミュレーション!$F$10)*0.5</f>
        <v>112320</v>
      </c>
      <c r="BL14" s="167">
        <f>((BK6*各種シミュレーション!$F$3)*各種シミュレーション!$F$9+(BK6*各種シミュレーション!$F$4)*各種シミュレーション!$F$10)*0.5</f>
        <v>87360.000000000015</v>
      </c>
      <c r="BM14" s="167">
        <f>((BL6*各種シミュレーション!$F$3)*各種シミュレーション!$F$9+(BL6*各種シミュレーション!$F$4)*各種シミュレーション!$F$10)*0.5</f>
        <v>82680.000000000015</v>
      </c>
      <c r="BN14" s="167">
        <f>((BM6*各種シミュレーション!$F$3)*各種シミュレーション!$F$9+(BM6*各種シミュレーション!$F$4)*各種シミュレーション!$F$10)*0.5</f>
        <v>67080</v>
      </c>
      <c r="BO14" s="169">
        <f t="shared" si="165"/>
        <v>1174680</v>
      </c>
      <c r="BP14" s="170">
        <f>((BN6*各種シミュレーション!$F$3)*各種シミュレーション!$F$9+(BN6*各種シミュレーション!$F$4)*各種シミュレーション!$F$10)*0.5</f>
        <v>141960</v>
      </c>
      <c r="BQ14" s="167">
        <f>((BP6*各種シミュレーション!$F$3)*各種シミュレーション!$F$9+(BP6*各種シミュレーション!$F$4)*各種シミュレーション!$F$10)*0.5</f>
        <v>121680.00000000001</v>
      </c>
      <c r="BR14" s="167">
        <f>((BQ6*各種シミュレーション!$F$3)*各種シミュレーション!$F$9+(BQ6*各種シミュレーション!$F$4)*各種シミュレーション!$F$10)*0.5</f>
        <v>67080</v>
      </c>
      <c r="BS14" s="167">
        <f>((BR6*各種シミュレーション!$F$3)*各種シミュレーション!$F$9+(BR6*各種シミュレーション!$F$4)*各種シミュレーション!$F$10)*0.5</f>
        <v>84240</v>
      </c>
      <c r="BT14" s="167">
        <f>((BS6*各種シミュレーション!$F$3)*各種シミュレーション!$F$9+(BS6*各種シミュレーション!$F$4)*各種シミュレーション!$F$10)*0.5</f>
        <v>101400</v>
      </c>
      <c r="BU14" s="167">
        <f>((BT6*各種シミュレーション!$F$3)*各種シミュレーション!$F$9+(BT6*各種シミュレーション!$F$4)*各種シミュレーション!$F$10)*0.5</f>
        <v>99840</v>
      </c>
      <c r="BV14" s="167">
        <f>((BU6*各種シミュレーション!$F$3)*各種シミュレーション!$F$9+(BU6*各種シミュレーション!$F$4)*各種シミュレーション!$F$10)*0.5</f>
        <v>96720</v>
      </c>
      <c r="BW14" s="167">
        <f>((BV6*各種シミュレーション!$F$3)*各種シミュレーション!$F$9+(BV6*各種シミュレーション!$F$4)*各種シミュレーション!$F$10)*0.5</f>
        <v>112320</v>
      </c>
      <c r="BX14" s="167">
        <f>((BW6*各種シミュレーション!$F$3)*各種シミュレーション!$F$9+(BW6*各種シミュレーション!$F$4)*各種シミュレーション!$F$10)*0.5</f>
        <v>112320</v>
      </c>
      <c r="BY14" s="167">
        <f>((BX6*各種シミュレーション!$F$3)*各種シミュレーション!$F$9+(BX6*各種シミュレーション!$F$4)*各種シミュレーション!$F$10)*0.5</f>
        <v>87360.000000000015</v>
      </c>
      <c r="BZ14" s="167">
        <f>((BY6*各種シミュレーション!$F$3)*各種シミュレーション!$F$9+(BY6*各種シミュレーション!$F$4)*各種シミュレーション!$F$10)*0.5</f>
        <v>82680.000000000015</v>
      </c>
      <c r="CA14" s="167">
        <f>((BZ6*各種シミュレーション!$F$3)*各種シミュレーション!$F$9+(BZ6*各種シミュレーション!$F$4)*各種シミュレーション!$F$10)*0.5</f>
        <v>67080</v>
      </c>
      <c r="CB14" s="169">
        <f t="shared" si="176"/>
        <v>1174680</v>
      </c>
      <c r="CC14" s="170">
        <f>((CA6*各種シミュレーション!$F$3)*各種シミュレーション!$F$9+(CA6*各種シミュレーション!$F$4)*各種シミュレーション!$F$10)*0.5</f>
        <v>141960</v>
      </c>
      <c r="CD14" s="167">
        <f>((CC6*各種シミュレーション!$F$3)*各種シミュレーション!$F$9+(CC6*各種シミュレーション!$F$4)*各種シミュレーション!$F$10)*0.5</f>
        <v>121680.00000000001</v>
      </c>
      <c r="CE14" s="167">
        <f>((CD6*各種シミュレーション!$F$3)*各種シミュレーション!$F$9+(CD6*各種シミュレーション!$F$4)*各種シミュレーション!$F$10)*0.5</f>
        <v>67080</v>
      </c>
      <c r="CF14" s="167">
        <f>((CE6*各種シミュレーション!$F$3)*各種シミュレーション!$F$9+(CE6*各種シミュレーション!$F$4)*各種シミュレーション!$F$10)*0.5</f>
        <v>84240</v>
      </c>
      <c r="CG14" s="167">
        <f>((CF6*各種シミュレーション!$F$3)*各種シミュレーション!$F$9+(CF6*各種シミュレーション!$F$4)*各種シミュレーション!$F$10)*0.5</f>
        <v>101400</v>
      </c>
      <c r="CH14" s="167">
        <f>((CG6*各種シミュレーション!$F$3)*各種シミュレーション!$F$9+(CG6*各種シミュレーション!$F$4)*各種シミュレーション!$F$10)*0.5</f>
        <v>99840</v>
      </c>
      <c r="CI14" s="167">
        <f>((CH6*各種シミュレーション!$F$3)*各種シミュレーション!$F$9+(CH6*各種シミュレーション!$F$4)*各種シミュレーション!$F$10)*0.5</f>
        <v>96720</v>
      </c>
      <c r="CJ14" s="167">
        <f>((CI6*各種シミュレーション!$F$3)*各種シミュレーション!$F$9+(CI6*各種シミュレーション!$F$4)*各種シミュレーション!$F$10)*0.5</f>
        <v>112320</v>
      </c>
      <c r="CK14" s="167">
        <f>((CJ6*各種シミュレーション!$F$3)*各種シミュレーション!$F$9+(CJ6*各種シミュレーション!$F$4)*各種シミュレーション!$F$10)*0.5</f>
        <v>112320</v>
      </c>
      <c r="CL14" s="167">
        <f>((CK6*各種シミュレーション!$F$3)*各種シミュレーション!$F$9+(CK6*各種シミュレーション!$F$4)*各種シミュレーション!$F$10)*0.5</f>
        <v>87360.000000000015</v>
      </c>
      <c r="CM14" s="167">
        <f>((CL6*各種シミュレーション!$F$3)*各種シミュレーション!$F$9+(CL6*各種シミュレーション!$F$4)*各種シミュレーション!$F$10)*0.5</f>
        <v>82680.000000000015</v>
      </c>
      <c r="CN14" s="167">
        <f>((CM6*各種シミュレーション!$F$3)*各種シミュレーション!$F$9+(CM6*各種シミュレーション!$F$4)*各種シミュレーション!$F$10)*0.5</f>
        <v>67080</v>
      </c>
      <c r="CO14" s="169">
        <f t="shared" si="187"/>
        <v>1174680</v>
      </c>
      <c r="CP14" s="170">
        <f>((CN6*各種シミュレーション!$F$3)*各種シミュレーション!$F$9+(CN6*各種シミュレーション!$F$4)*各種シミュレーション!$F$10)*0.5</f>
        <v>141960</v>
      </c>
      <c r="CQ14" s="167">
        <f>((CP6*各種シミュレーション!$F$3)*各種シミュレーション!$F$9+(CP6*各種シミュレーション!$F$4)*各種シミュレーション!$F$10)*0.5</f>
        <v>121680.00000000001</v>
      </c>
      <c r="CR14" s="167">
        <f>((CQ6*各種シミュレーション!$F$3)*各種シミュレーション!$F$9+(CQ6*各種シミュレーション!$F$4)*各種シミュレーション!$F$10)*0.5</f>
        <v>67080</v>
      </c>
      <c r="CS14" s="167">
        <f>((CR6*各種シミュレーション!$F$3)*各種シミュレーション!$F$9+(CR6*各種シミュレーション!$F$4)*各種シミュレーション!$F$10)*0.5</f>
        <v>84240</v>
      </c>
      <c r="CT14" s="167">
        <f>((CS6*各種シミュレーション!$F$3)*各種シミュレーション!$F$9+(CS6*各種シミュレーション!$F$4)*各種シミュレーション!$F$10)*0.5</f>
        <v>101400</v>
      </c>
      <c r="CU14" s="167">
        <f>((CT6*各種シミュレーション!$F$3)*各種シミュレーション!$F$9+(CT6*各種シミュレーション!$F$4)*各種シミュレーション!$F$10)*0.5</f>
        <v>99840</v>
      </c>
      <c r="CV14" s="167">
        <f>((CU6*各種シミュレーション!$F$3)*各種シミュレーション!$F$9+(CU6*各種シミュレーション!$F$4)*各種シミュレーション!$F$10)*0.5</f>
        <v>96720</v>
      </c>
      <c r="CW14" s="167">
        <f>((CV6*各種シミュレーション!$F$3)*各種シミュレーション!$F$9+(CV6*各種シミュレーション!$F$4)*各種シミュレーション!$F$10)*0.5</f>
        <v>112320</v>
      </c>
      <c r="CX14" s="167">
        <f>((CW6*各種シミュレーション!$F$3)*各種シミュレーション!$F$9+(CW6*各種シミュレーション!$F$4)*各種シミュレーション!$F$10)*0.5</f>
        <v>112320</v>
      </c>
      <c r="CY14" s="167">
        <f>((CX6*各種シミュレーション!$F$3)*各種シミュレーション!$F$9+(CX6*各種シミュレーション!$F$4)*各種シミュレーション!$F$10)*0.5</f>
        <v>87360.000000000015</v>
      </c>
      <c r="CZ14" s="167">
        <f>((CY6*各種シミュレーション!$F$3)*各種シミュレーション!$F$9+(CY6*各種シミュレーション!$F$4)*各種シミュレーション!$F$10)*0.5</f>
        <v>82680.000000000015</v>
      </c>
      <c r="DA14" s="167">
        <f>((CZ6*各種シミュレーション!$F$3)*各種シミュレーション!$F$9+(CZ6*各種シミュレーション!$F$4)*各種シミュレーション!$F$10)*0.5</f>
        <v>67080</v>
      </c>
      <c r="DB14" s="169">
        <f t="shared" si="198"/>
        <v>1174680</v>
      </c>
      <c r="DC14" s="170">
        <f>((DA6*各種シミュレーション!$F$3)*各種シミュレーション!$F$9+(DA6*各種シミュレーション!$F$4)*各種シミュレーション!$F$10)*0.5</f>
        <v>141960</v>
      </c>
      <c r="DD14" s="167">
        <f>((DC6*各種シミュレーション!$F$3)*各種シミュレーション!$F$9+(DC6*各種シミュレーション!$F$4)*各種シミュレーション!$F$10)*0.5</f>
        <v>121680.00000000001</v>
      </c>
      <c r="DE14" s="167">
        <f>((DD6*各種シミュレーション!$F$3)*各種シミュレーション!$F$9+(DD6*各種シミュレーション!$F$4)*各種シミュレーション!$F$10)*0.5</f>
        <v>67080</v>
      </c>
      <c r="DF14" s="167">
        <f>((DE6*各種シミュレーション!$F$3)*各種シミュレーション!$F$9+(DE6*各種シミュレーション!$F$4)*各種シミュレーション!$F$10)*0.5</f>
        <v>84240</v>
      </c>
      <c r="DG14" s="167">
        <f>((DF6*各種シミュレーション!$F$3)*各種シミュレーション!$F$9+(DF6*各種シミュレーション!$F$4)*各種シミュレーション!$F$10)*0.5</f>
        <v>101400</v>
      </c>
      <c r="DH14" s="167">
        <f>((DG6*各種シミュレーション!$F$3)*各種シミュレーション!$F$9+(DG6*各種シミュレーション!$F$4)*各種シミュレーション!$F$10)*0.5</f>
        <v>99840</v>
      </c>
      <c r="DI14" s="167">
        <f>((DH6*各種シミュレーション!$F$3)*各種シミュレーション!$F$9+(DH6*各種シミュレーション!$F$4)*各種シミュレーション!$F$10)*0.5</f>
        <v>96720</v>
      </c>
      <c r="DJ14" s="167">
        <f>((DI6*各種シミュレーション!$F$3)*各種シミュレーション!$F$9+(DI6*各種シミュレーション!$F$4)*各種シミュレーション!$F$10)*0.5</f>
        <v>112320</v>
      </c>
      <c r="DK14" s="167">
        <f>((DJ6*各種シミュレーション!$F$3)*各種シミュレーション!$F$9+(DJ6*各種シミュレーション!$F$4)*各種シミュレーション!$F$10)*0.5</f>
        <v>112320</v>
      </c>
      <c r="DL14" s="167">
        <f>((DK6*各種シミュレーション!$F$3)*各種シミュレーション!$F$9+(DK6*各種シミュレーション!$F$4)*各種シミュレーション!$F$10)*0.5</f>
        <v>87360.000000000015</v>
      </c>
      <c r="DM14" s="167">
        <f>((DL6*各種シミュレーション!$F$3)*各種シミュレーション!$F$9+(DL6*各種シミュレーション!$F$4)*各種シミュレーション!$F$10)*0.5</f>
        <v>82680.000000000015</v>
      </c>
      <c r="DN14" s="167">
        <f>((DM6*各種シミュレーション!$F$3)*各種シミュレーション!$F$9+(DM6*各種シミュレーション!$F$4)*各種シミュレーション!$F$10)*0.5</f>
        <v>67080</v>
      </c>
      <c r="DO14" s="169">
        <f t="shared" si="209"/>
        <v>1174680</v>
      </c>
      <c r="DP14" s="170">
        <f>((DN6*各種シミュレーション!$F$3)*各種シミュレーション!$F$9+(DN6*各種シミュレーション!$F$4)*各種シミュレーション!$F$10)*0.5</f>
        <v>141960</v>
      </c>
      <c r="DQ14" s="167">
        <f>((DP6*各種シミュレーション!$F$3)*各種シミュレーション!$F$9+(DP6*各種シミュレーション!$F$4)*各種シミュレーション!$F$10)*0.5</f>
        <v>121680.00000000001</v>
      </c>
      <c r="DR14" s="167">
        <f>((DQ6*各種シミュレーション!$F$3)*各種シミュレーション!$F$9+(DQ6*各種シミュレーション!$F$4)*各種シミュレーション!$F$10)*0.5</f>
        <v>67080</v>
      </c>
      <c r="DS14" s="167">
        <f>((DR6*各種シミュレーション!$F$3)*各種シミュレーション!$F$9+(DR6*各種シミュレーション!$F$4)*各種シミュレーション!$F$10)*0.5</f>
        <v>84240</v>
      </c>
      <c r="DT14" s="167">
        <f>((DS6*各種シミュレーション!$F$3)*各種シミュレーション!$F$9+(DS6*各種シミュレーション!$F$4)*各種シミュレーション!$F$10)*0.5</f>
        <v>101400</v>
      </c>
      <c r="DU14" s="167">
        <f>((DT6*各種シミュレーション!$F$3)*各種シミュレーション!$F$9+(DT6*各種シミュレーション!$F$4)*各種シミュレーション!$F$10)*0.5</f>
        <v>99840</v>
      </c>
      <c r="DV14" s="167">
        <f>((DU6*各種シミュレーション!$F$3)*各種シミュレーション!$F$9+(DU6*各種シミュレーション!$F$4)*各種シミュレーション!$F$10)*0.5</f>
        <v>96720</v>
      </c>
      <c r="DW14" s="167">
        <f>((DV6*各種シミュレーション!$F$3)*各種シミュレーション!$F$9+(DV6*各種シミュレーション!$F$4)*各種シミュレーション!$F$10)*0.5</f>
        <v>112320</v>
      </c>
      <c r="DX14" s="167">
        <f>((DW6*各種シミュレーション!$F$3)*各種シミュレーション!$F$9+(DW6*各種シミュレーション!$F$4)*各種シミュレーション!$F$10)*0.5</f>
        <v>112320</v>
      </c>
      <c r="DY14" s="167">
        <f>((DX6*各種シミュレーション!$F$3)*各種シミュレーション!$F$9+(DX6*各種シミュレーション!$F$4)*各種シミュレーション!$F$10)*0.5</f>
        <v>87360.000000000015</v>
      </c>
      <c r="DZ14" s="167">
        <f>((DY6*各種シミュレーション!$F$3)*各種シミュレーション!$F$9+(DY6*各種シミュレーション!$F$4)*各種シミュレーション!$F$10)*0.5</f>
        <v>82680.000000000015</v>
      </c>
      <c r="EA14" s="167">
        <f>((DZ6*各種シミュレーション!$F$3)*各種シミュレーション!$F$9+(DZ6*各種シミュレーション!$F$4)*各種シミュレーション!$F$10)*0.5</f>
        <v>67080</v>
      </c>
      <c r="EB14" s="171">
        <f t="shared" si="220"/>
        <v>1174680</v>
      </c>
    </row>
    <row r="15" spans="1:132" s="7" customFormat="1" ht="24" customHeight="1">
      <c r="A15" s="165"/>
      <c r="B15" s="172" t="s">
        <v>44</v>
      </c>
      <c r="C15" s="167"/>
      <c r="D15" s="167"/>
      <c r="E15" s="167"/>
      <c r="F15" s="167"/>
      <c r="G15" s="167">
        <f>E5*各種シミュレーション!$F$3</f>
        <v>2435200</v>
      </c>
      <c r="H15" s="167">
        <f>F5*各種シミュレーション!$F$3</f>
        <v>2643200</v>
      </c>
      <c r="I15" s="167">
        <f>G5*各種シミュレーション!$F$3</f>
        <v>2899200</v>
      </c>
      <c r="J15" s="167">
        <f>H5*各種シミュレーション!$F$3</f>
        <v>3158399.9999999995</v>
      </c>
      <c r="K15" s="167">
        <f>I5*各種シミュレーション!$F$3</f>
        <v>3254857.5999999992</v>
      </c>
      <c r="L15" s="167">
        <f>J5*各種シミュレーション!$F$3</f>
        <v>3567854.1663999995</v>
      </c>
      <c r="M15" s="167">
        <f>K5*各種シミュレーション!$F$3</f>
        <v>3807007.7705695992</v>
      </c>
      <c r="N15" s="167">
        <f>L5*各種シミュレーション!$F$3</f>
        <v>3842478.4053528281</v>
      </c>
      <c r="O15" s="169">
        <f t="shared" ref="O15:O23" si="223">SUM(C15:N15)</f>
        <v>25608197.942322426</v>
      </c>
      <c r="P15" s="167">
        <f>M5*各種シミュレーション!$F$3</f>
        <v>3818681.9203012455</v>
      </c>
      <c r="Q15" s="167">
        <f>N5*各種シミュレーション!$F$3</f>
        <v>3735203.8700470873</v>
      </c>
      <c r="R15" s="167">
        <f>P5*各種シミュレーション!$F$3</f>
        <v>3962849.288154874</v>
      </c>
      <c r="S15" s="167">
        <f>Q5*各種シミュレーション!$F$3</f>
        <v>3955795.3716115952</v>
      </c>
      <c r="T15" s="167">
        <f>R5*各種シミュレーション!$F$3</f>
        <v>4019472.9891458508</v>
      </c>
      <c r="U15" s="167">
        <f>S5*各種シミュレーション!$F$3</f>
        <v>4158752.4885474541</v>
      </c>
      <c r="V15" s="167">
        <f>T5*各種シミュレーション!$F$3</f>
        <v>4184078.6464711982</v>
      </c>
      <c r="W15" s="167">
        <f>U5*各種シミュレーション!$F$3</f>
        <v>4198867.7365517644</v>
      </c>
      <c r="X15" s="167">
        <f>V5*各種シミュレーション!$F$3</f>
        <v>4238709.6302993484</v>
      </c>
      <c r="Y15" s="167">
        <f>W5*各種シミュレーション!$F$3</f>
        <v>4494677.373978273</v>
      </c>
      <c r="Z15" s="167">
        <f>X5*各種シミュレーション!$F$3</f>
        <v>4536374.3111410765</v>
      </c>
      <c r="AA15" s="167">
        <f>Y5*各種シミュレーション!$F$3</f>
        <v>4528528.4616288571</v>
      </c>
      <c r="AB15" s="169">
        <f>SUM(P15:AA15)</f>
        <v>49831992.087878622</v>
      </c>
      <c r="AC15" s="167">
        <f>Z5*各種シミュレーション!$F$3</f>
        <v>4581772.9085485898</v>
      </c>
      <c r="AD15" s="167">
        <f>AA5*各種シミュレーション!$F$3</f>
        <v>4572247.3109322917</v>
      </c>
      <c r="AE15" s="167">
        <f>AC5*各種シミュレーション!$F$3</f>
        <v>4630274.1604277976</v>
      </c>
      <c r="AF15" s="167">
        <f>AD5*各種シミュレーション!$F$3</f>
        <v>4682954.0164919691</v>
      </c>
      <c r="AG15" s="167">
        <f>(AE5*各種シミュレーション!$F$3)*各種シミュレーション!$F$9+(AE5*各種シミュレーション!$F$4)*各種シミュレーション!$F$10</f>
        <v>4643422.5999347223</v>
      </c>
      <c r="AH15" s="167">
        <f>(AF5*各種シミュレーション!$F$3)*各種シミュレーション!$F$9+(AF5*各種シミュレーション!$F$4)*各種シミュレーション!$F$10</f>
        <v>4646335.9637371367</v>
      </c>
      <c r="AI15" s="167">
        <f>(AG5*各種シミュレーション!$F$3)*各種シミュレーション!$F$9+(AG5*各種シミュレーション!$F$4)*各種シミュレーション!$F$10</f>
        <v>4733381.5330788633</v>
      </c>
      <c r="AJ15" s="167">
        <f>(AH5*各種シミュレーション!$F$3)*各種シミュレーション!$F$9+(AH5*各種シミュレーション!$F$4)*各種シミュレーション!$F$10</f>
        <v>4792246.4163549459</v>
      </c>
      <c r="AK15" s="167">
        <f>(AI5*各種シミュレーション!$F$3)*各種シミュレーション!$F$9+(AI5*各種シミュレーション!$F$4)*各種シミュレーション!$F$10</f>
        <v>4802133.2989498135</v>
      </c>
      <c r="AL15" s="167">
        <f>(AJ5*各種シミュレーション!$F$3)*各種シミュレーション!$F$9+(AJ5*各種シミュレーション!$F$4)*各種シミュレーション!$F$10</f>
        <v>4783574.3668886703</v>
      </c>
      <c r="AM15" s="167">
        <f>(AK5*各種シミュレーション!$F$3)*各種シミュレーション!$F$9+(AK5*各種シミュレーション!$F$4)*各種シミュレーション!$F$10</f>
        <v>4812502.1153137889</v>
      </c>
      <c r="AN15" s="168">
        <f>(AL5*各種シミュレーション!$F$3)*各種シミュレーション!$F$9+(AL5*各種シミュレーション!$F$4)*各種シミュレーション!$F$10</f>
        <v>4784199.5370471785</v>
      </c>
      <c r="AO15" s="169">
        <f t="shared" si="222"/>
        <v>56465044.227705777</v>
      </c>
      <c r="AP15" s="170">
        <f>(AM5*各種シミュレーション!$F$3)*各種シミュレーション!$F$9+(AM5*各種シミュレーション!$F$4)*各種シミュレーション!$F$10</f>
        <v>4741344.1541764326</v>
      </c>
      <c r="AQ15" s="167">
        <f>(AN5*各種シミュレーション!$F$3)*各種シミュレーション!$F$9+(AN5*各種シミュレーション!$F$4)*各種シミュレーション!$F$10</f>
        <v>4681354.4204719048</v>
      </c>
      <c r="AR15" s="167">
        <f>(AP5*各種シミュレーション!$F$3)*各種シミュレーション!$F$9+(AP5*各種シミュレーション!$F$4)*各種シミュレーション!$F$10</f>
        <v>4751504.3069144441</v>
      </c>
      <c r="AS15" s="167">
        <f>(AQ5*各種シミュレーション!$F$3)*各種シミュレーション!$F$9+(AQ5*各種シミュレーション!$F$4)*各種シミュレーション!$F$10</f>
        <v>4709858.6475586109</v>
      </c>
      <c r="AT15" s="167">
        <f>(AR5*各種シミュレーション!$F$3)*各種シミュレーション!$F$9+(AR5*各種シミュレーション!$F$4)*各種シミュレーション!$F$10</f>
        <v>4704073.8775989413</v>
      </c>
      <c r="AU15" s="167">
        <f>(AS5*各種シミュレーション!$F$3)*各種シミュレーション!$F$9+(AS5*各種シミュレーション!$F$4)*各種シミュレーション!$F$10</f>
        <v>4732823.1441277806</v>
      </c>
      <c r="AV15" s="167">
        <f>(AT5*各種シミュレーション!$F$3)*各種シミュレーション!$F$9+(AT5*各種シミュレーション!$F$4)*各種シミュレーション!$F$10</f>
        <v>4757388.6877950532</v>
      </c>
      <c r="AW15" s="167">
        <f>(AU5*各種シミュレーション!$F$3)*各種シミュレーション!$F$9+(AU5*各種シミュレーション!$F$4)*各種シミュレーション!$F$10</f>
        <v>4774805.3063466363</v>
      </c>
      <c r="AX15" s="167">
        <f>(AV5*各種シミュレーション!$F$3)*各種シミュレーション!$F$9+(AV5*各種シミュレーション!$F$4)*各種シミュレーション!$F$10</f>
        <v>4822777.5100118108</v>
      </c>
      <c r="AY15" s="167">
        <f>(AW5*各種シミュレーション!$F$3)*各種シミュレーション!$F$9+(AW5*各種シミュレーション!$F$4)*各種シミュレーション!$F$10</f>
        <v>4868974.7421413735</v>
      </c>
      <c r="AZ15" s="167">
        <f>(AX5*各種シミュレーション!$F$3)*各種シミュレーション!$F$9+(AX5*各種シミュレーション!$F$4)*各種シミュレーション!$F$10</f>
        <v>4863542.6766821425</v>
      </c>
      <c r="BA15" s="168">
        <f>(AY5*各種シミュレーション!$F$3)*各種シミュレーション!$F$9+(AY5*各種シミュレーション!$F$4)*各種シミュレーション!$F$10</f>
        <v>4848951.5976449037</v>
      </c>
      <c r="BB15" s="169">
        <f t="shared" si="154"/>
        <v>57257399.071470037</v>
      </c>
      <c r="BC15" s="170">
        <f>(AZ5*各種シミュレーション!$F$3)*各種シミュレーション!$F$9+(AZ5*各種シミュレーション!$F$4)*各種シミュレーション!$F$10</f>
        <v>4803700.3885320425</v>
      </c>
      <c r="BD15" s="167">
        <f>(BA5*各種シミュレーション!$F$3)*各種シミュレーション!$F$9+(BA5*各種シミュレーション!$F$4)*各種シミュレーション!$F$10</f>
        <v>4909883.4741563573</v>
      </c>
      <c r="BE15" s="167">
        <f>(BC5*各種シミュレーション!$F$3)*各種シミュレーション!$F$9+(BC5*各種シミュレーション!$F$4)*各種シミュレーション!$F$10</f>
        <v>4971577.785612572</v>
      </c>
      <c r="BF15" s="167">
        <f>(BD5*各種シミュレーション!$F$3)*各種シミュレーション!$F$9+(BD5*各種シミュレーション!$F$4)*各種シミュレーション!$F$10</f>
        <v>4921789.4075449063</v>
      </c>
      <c r="BG15" s="167">
        <f>(BE5*各種シミュレーション!$F$3)*各種シミュレーション!$F$9+(BE5*各種シミュレーション!$F$4)*各種シミュレーション!$F$10</f>
        <v>4908163.1994657461</v>
      </c>
      <c r="BH15" s="167">
        <f>(BF5*各種シミュレーション!$F$3)*各種シミュレーション!$F$9+(BF5*各種シミュレーション!$F$4)*各種シミュレーション!$F$10</f>
        <v>4929361.1610855144</v>
      </c>
      <c r="BI15" s="167">
        <f>(BG5*各種シミュレーション!$F$3)*各種シミュレーション!$F$9+(BG5*各種シミュレーション!$F$4)*各種シミュレーション!$F$10</f>
        <v>4946654.798125349</v>
      </c>
      <c r="BJ15" s="167">
        <f>(BH5*各種シミュレーション!$F$3)*各種シミュレーション!$F$9+(BH5*各種シミュレーション!$F$4)*各種シミュレーション!$F$10</f>
        <v>4957068.5705947112</v>
      </c>
      <c r="BK15" s="167">
        <f>(BI5*各種シミュレーション!$F$3)*各種シミュレーション!$F$9+(BI5*各種シミュレーション!$F$4)*各種シミュレーション!$F$10</f>
        <v>4998297.0334827062</v>
      </c>
      <c r="BL15" s="167">
        <f>(BJ5*各種シミュレーション!$F$3)*各種シミュレーション!$F$9+(BJ5*各種シミュレーション!$F$4)*各種シミュレーション!$F$10</f>
        <v>5038000.0432438469</v>
      </c>
      <c r="BM15" s="167">
        <f>(BK5*各種シミュレーション!$F$3)*各種シミュレーション!$F$9+(BK5*各種シミュレーション!$F$4)*各種シミュレーション!$F$10</f>
        <v>5026314.0416438244</v>
      </c>
      <c r="BN15" s="168">
        <f>(BL5*各種シミュレーション!$F$3)*各種シミュレーション!$F$9+(BL5*各種シミュレーション!$F$4)*各種シミュレーション!$F$10</f>
        <v>5005700.4221030027</v>
      </c>
      <c r="BO15" s="169">
        <f t="shared" si="165"/>
        <v>59416510.325590581</v>
      </c>
      <c r="BP15" s="170">
        <f>(BM5*各種シミュレーション!$F$3)*各種シミュレーション!$F$9+(BM5*各種シミュレーション!$F$4)*各種シミュレーション!$F$10</f>
        <v>4954649.5064851921</v>
      </c>
      <c r="BQ15" s="167">
        <f>(BN5*各種シミュレーション!$F$3)*各種シミュレーション!$F$9+(BN5*各種シミュレーション!$F$4)*各種シミュレーション!$F$10</f>
        <v>5055247.4747452401</v>
      </c>
      <c r="BR15" s="167">
        <f>(BP5*各種シミュレーション!$F$3)*各種シミュレーション!$F$9+(BP5*各種シミュレーション!$F$4)*各種シミュレーション!$F$10</f>
        <v>5111563.318179667</v>
      </c>
      <c r="BS15" s="167">
        <f>(BQ5*各種シミュレーション!$F$3)*各種シミュレーション!$F$9+(BQ5*各種シミュレーション!$F$4)*各種シミュレーション!$F$10</f>
        <v>5056595.4754070193</v>
      </c>
      <c r="BT15" s="167">
        <f>(BR5*各種シミュレーション!$F$3)*各種シミュレーション!$F$9+(BR5*各種シミュレーション!$F$4)*各種シミュレーション!$F$10</f>
        <v>5037981.4428169597</v>
      </c>
      <c r="BU15" s="167">
        <f>(BS5*各種シミュレーション!$F$3)*各種シミュレーション!$F$9+(BS5*各種シミュレーション!$F$4)*各種シミュレーション!$F$10</f>
        <v>5054376.1294327322</v>
      </c>
      <c r="BV15" s="167">
        <f>(BT5*各種シミュレーション!$F$3)*各種シミュレーション!$F$9+(BT5*各種シミュレーション!$F$4)*各種シミュレーション!$F$10</f>
        <v>5067044.2126437211</v>
      </c>
      <c r="BW15" s="167">
        <f>(BU5*各種シミュレーション!$F$3)*各種シミュレーション!$F$9+(BU5*各種シミュレーション!$F$4)*各種シミュレーション!$F$10</f>
        <v>5073003.576775902</v>
      </c>
      <c r="BX15" s="167">
        <f>(BV5*各種シミュレーション!$F$3)*各種シミュレーション!$F$9+(BV5*各種シミュレーション!$F$4)*各種シミュレーション!$F$10</f>
        <v>5109942.4444351941</v>
      </c>
      <c r="BY15" s="167">
        <f>(BW5*各種シミュレーション!$F$3)*各種シミュレーション!$F$9+(BW5*各種シミュレーション!$F$4)*各種シミュレーション!$F$10</f>
        <v>5145514.573991091</v>
      </c>
      <c r="BZ15" s="167">
        <f>(BX5*各種シミュレーション!$F$3)*各種シミュレーション!$F$9+(BX5*各種シミュレーション!$F$4)*各種シミュレーション!$F$10</f>
        <v>5129850.5347534213</v>
      </c>
      <c r="CA15" s="168">
        <f>(BY5*各種シミュレーション!$F$3)*各種シミュレーション!$F$9+(BY5*各種シミュレーション!$F$4)*各種シミュレーション!$F$10</f>
        <v>5105406.0649675438</v>
      </c>
      <c r="CB15" s="169">
        <f t="shared" si="176"/>
        <v>60901174.754633673</v>
      </c>
      <c r="CC15" s="170">
        <f>(BZ5*各種シミュレーション!$F$3)*各種シミュレーション!$F$9+(BZ5*各種シミュレーション!$F$4)*各種シミュレーション!$F$10</f>
        <v>5050666.0405637454</v>
      </c>
      <c r="CD15" s="167">
        <f>(CA5*各種シミュレーション!$F$3)*各種シミュレーション!$F$9+(CA5*各種シミュレーション!$F$4)*各種シミュレーション!$F$10</f>
        <v>5147711.3970628865</v>
      </c>
      <c r="CE15" s="167">
        <f>(CC5*各種シミュレーション!$F$3)*各種シミュレーション!$F$9+(CC5*各種シミュレーション!$F$4)*各種シミュレーション!$F$10</f>
        <v>5200606.0753715606</v>
      </c>
      <c r="CF15" s="167">
        <f>(CD5*各種シミュレーション!$F$3)*各種シミュレーション!$F$9+(CD5*各種シミュレーション!$F$4)*各種シミュレーション!$F$10</f>
        <v>5142343.6505828127</v>
      </c>
      <c r="CG15" s="167">
        <f>(CE5*各種シミュレーション!$F$3)*各種シミュレーション!$F$9+(CE5*各種シミュレーション!$F$4)*各種シミュレーション!$F$10</f>
        <v>5120556.9355112491</v>
      </c>
      <c r="CH15" s="167">
        <f>(CF5*各種シミュレーション!$F$3)*各種シミュレーション!$F$9+(CF5*各種シミュレーション!$F$4)*各種シミュレーション!$F$10</f>
        <v>5133896.3288973328</v>
      </c>
      <c r="CI15" s="167">
        <f>(CG5*各種シミュレーション!$F$3)*各種シミュレーション!$F$9+(CG5*各種シミュレーション!$F$4)*各種シミュレーション!$F$10</f>
        <v>5143622.1647281311</v>
      </c>
      <c r="CJ15" s="167">
        <f>(CH5*各種シミュレーション!$F$3)*各種シミュレーション!$F$9+(CH5*各種シミュレーション!$F$4)*各種シミュレーション!$F$10</f>
        <v>5146748.1446331907</v>
      </c>
      <c r="CK15" s="167">
        <f>(CI5*各種シミュレーション!$F$3)*各種シミュレーション!$F$9+(CI5*各種シミュレーション!$F$4)*各種シミュレーション!$F$10</f>
        <v>5180958.4632817619</v>
      </c>
      <c r="CL15" s="167">
        <f>(CJ5*各種シミュレーション!$F$3)*各種シミュレーション!$F$9+(CJ5*各種シミュレーション!$F$4)*各種シミュレーション!$F$10</f>
        <v>5213903.0001403363</v>
      </c>
      <c r="CM15" s="167">
        <f>(CK5*各種シミュレーション!$F$3)*各種シミュレーション!$F$9+(CK5*各種シミュレーション!$F$4)*各種シミュレーション!$F$10</f>
        <v>5195708.5891351439</v>
      </c>
      <c r="CN15" s="168">
        <f>(CL5*各種シミュレーション!$F$3)*各種シミュレーション!$F$9+(CL5*各種シミュレーション!$F$4)*各種シミュレーション!$F$10</f>
        <v>5168827.3713371437</v>
      </c>
      <c r="CO15" s="169">
        <f t="shared" si="187"/>
        <v>61845548.161245301</v>
      </c>
      <c r="CP15" s="170">
        <f>(CM5*各種シミュレーション!$F$3)*各種シミュレーション!$F$9+(CM5*各種シミュレーション!$F$4)*各種シミュレーション!$F$10</f>
        <v>5111740.7585976701</v>
      </c>
      <c r="CQ15" s="167">
        <f>(CN5*各種シミュレーション!$F$3)*各種シミュレーション!$F$9+(CN5*各種シミュレーション!$F$4)*各種シミュレーション!$F$10</f>
        <v>5206526.3505295562</v>
      </c>
      <c r="CR15" s="167">
        <f>(CP5*各種シミュレーション!$F$3)*各種シミュレーション!$F$9+(CP5*各種シミュレーション!$F$4)*各種シミュレーション!$F$10</f>
        <v>5257244.8755599624</v>
      </c>
      <c r="CS15" s="167">
        <f>(CQ5*各種シミュレーション!$F$3)*各種シミュレーション!$F$9+(CQ5*各種シミュレーション!$F$4)*各種シミュレーション!$F$10</f>
        <v>5196886.8151642447</v>
      </c>
      <c r="CT15" s="167">
        <f>(CR5*各種シミュレーション!$F$3)*各種シミュレーション!$F$9+(CR5*各種シミュレーション!$F$4)*各種シミュレーション!$F$10</f>
        <v>5173082.0030031679</v>
      </c>
      <c r="CU15" s="167">
        <f>(CS5*各種シミュレーション!$F$3)*各種シミュレーション!$F$9+(CS5*各種シミュレーション!$F$4)*各種シミュレーション!$F$10</f>
        <v>5184477.9688920509</v>
      </c>
      <c r="CV15" s="167">
        <f>(CT5*各種シミュレーション!$F$3)*各種シミュレーション!$F$9+(CT5*各種シミュレーション!$F$4)*各種シミュレーション!$F$10</f>
        <v>5192332.2840430448</v>
      </c>
      <c r="CW15" s="167">
        <f>(CU5*各種シミュレーション!$F$3)*各種シミュレーション!$F$9+(CU5*各種シミュレーション!$F$4)*各種シミュレーション!$F$10</f>
        <v>5193655.9895334523</v>
      </c>
      <c r="CX15" s="167">
        <f>(CV5*各種シミュレーション!$F$3)*各種シミュレーション!$F$9+(CV5*各種シミュレーション!$F$4)*各種シミュレーション!$F$10</f>
        <v>5226130.7179207131</v>
      </c>
      <c r="CY15" s="167">
        <f>(CW5*各種シミュレーション!$F$3)*各種シミュレーション!$F$9+(CW5*各種シミュレーション!$F$4)*各種シミュレーション!$F$10</f>
        <v>5257403.8813576475</v>
      </c>
      <c r="CZ15" s="167">
        <f>(CX5*各種シミュレーション!$F$3)*各種シミュレーション!$F$9+(CX5*各種シミュレーション!$F$4)*各種シミュレーション!$F$10</f>
        <v>5237599.9377474142</v>
      </c>
      <c r="DA15" s="168">
        <f>(CY5*各種シミュレーション!$F$3)*各種シミュレーション!$F$9+(CY5*各種シミュレーション!$F$4)*各種シミュレーション!$F$10</f>
        <v>5209168.7400507601</v>
      </c>
      <c r="DB15" s="169">
        <f t="shared" si="198"/>
        <v>62446250.322399691</v>
      </c>
      <c r="DC15" s="170">
        <f>(CZ5*各種シミュレーション!$F$3)*各種シミュレーション!$F$9+(CZ5*各種シミュレーション!$F$4)*各種シミュレーション!$F$10</f>
        <v>5150589.4966688817</v>
      </c>
      <c r="DD15" s="167">
        <f>(DA5*各種シミュレーション!$F$3)*各種シミュレーション!$F$9+(DA5*各種シミュレーション!$F$4)*各種シミュレーション!$F$10</f>
        <v>5243937.6852921331</v>
      </c>
      <c r="DE15" s="167">
        <f>(DC5*各種シミュレーション!$F$3)*各種シミュレーション!$F$9+(DC5*各種シミュレーション!$F$4)*各種シミュレーション!$F$10</f>
        <v>5293271.9909363249</v>
      </c>
      <c r="DF15" s="167">
        <f>(DD5*各種シミュレーション!$F$3)*各種シミュレーション!$F$9+(DD5*各種シミュレーション!$F$4)*各種シミュレーション!$F$10</f>
        <v>5231580.9272716809</v>
      </c>
      <c r="DG15" s="167">
        <f>(DE5*各種シミュレーション!$F$3)*各種シミュレーション!$F$9+(DE5*各種シミュレーション!$F$4)*各種シミュレーション!$F$10</f>
        <v>5206492.432962629</v>
      </c>
      <c r="DH15" s="167">
        <f>(DF5*各種シミュレーション!$F$3)*各種シミュレーション!$F$9+(DF5*各種シミュレーション!$F$4)*各種シミュレーション!$F$10</f>
        <v>5216652.2129430119</v>
      </c>
      <c r="DI15" s="167">
        <f>(DG5*各種シミュレーション!$F$3)*各種シミュレーション!$F$9+(DG5*各種シミュレーション!$F$4)*各種シミュレーション!$F$10</f>
        <v>5223316.0810641209</v>
      </c>
      <c r="DJ15" s="167">
        <f>(DH5*各種シミュレーション!$F$3)*各種シミュレーション!$F$9+(DH5*各種シミュレーション!$F$4)*各種シミュレーション!$F$10</f>
        <v>5223493.3860647483</v>
      </c>
      <c r="DK15" s="167">
        <f>(DI5*各種シミュレーション!$F$3)*各種シミュレーション!$F$9+(DI5*各種シミュレーション!$F$4)*各種シミュレーション!$F$10</f>
        <v>5254864.1307803532</v>
      </c>
      <c r="DL15" s="167">
        <f>(DJ5*各種シミュレーション!$F$3)*各種シミュレーション!$F$9+(DJ5*各種シミュレーション!$F$4)*各種シミュレーション!$F$10</f>
        <v>5285074.1579414783</v>
      </c>
      <c r="DM15" s="167">
        <f>(DK5*各種シミュレーション!$F$3)*各種シミュレーション!$F$9+(DK5*各種シミュレーション!$F$4)*各種シミュレーション!$F$10</f>
        <v>5264246.4140976435</v>
      </c>
      <c r="DN15" s="168">
        <f>(DL5*各種シミュレーション!$F$3)*各種シミュレーション!$F$9+(DL5*各種シミュレーション!$F$4)*各種シミュレーション!$F$10</f>
        <v>5234829.2967760311</v>
      </c>
      <c r="DO15" s="169">
        <f t="shared" si="209"/>
        <v>62828348.212799035</v>
      </c>
      <c r="DP15" s="170">
        <f>(DM5*各種シミュレーション!$F$3)*各種シミュレーション!$F$9+(DM5*各種シミュレーション!$F$4)*各種シミュレーション!$F$10</f>
        <v>5175300.6127953185</v>
      </c>
      <c r="DQ15" s="167">
        <f>(DN5*各種シミュレーション!$F$3)*各種シミュレーション!$F$9+(DN5*各種シミュレーション!$F$4)*各種シミュレーション!$F$10</f>
        <v>5267734.4901218917</v>
      </c>
      <c r="DR15" s="167">
        <f>(DP5*各種シミュレーション!$F$3)*各種シミュレーション!$F$9+(DP5*各種シミュレーション!$F$4)*各種シミュレーション!$F$10</f>
        <v>5316188.3139873808</v>
      </c>
      <c r="DS15" s="167">
        <f>(DQ5*各種シミュレーション!$F$3)*各種シミュレーション!$F$9+(DQ5*各種シミュレーション!$F$4)*各種シミュレーション!$F$10</f>
        <v>5253649.3463698495</v>
      </c>
      <c r="DT15" s="167">
        <f>(DR5*各種シミュレーション!$F$3)*各種シミュレーション!$F$9+(DR5*各種シミュレーション!$F$4)*各種シミュレーション!$F$10</f>
        <v>5227744.3205541642</v>
      </c>
      <c r="DU15" s="167">
        <f>(DS5*各種シミュレーション!$F$3)*各種シミュレーション!$F$9+(DS5*各種シミュレーション!$F$4)*各種シミュレーション!$F$10</f>
        <v>5237117.7806936614</v>
      </c>
      <c r="DV15" s="167">
        <f>(DT5*各種シミュレーション!$F$3)*各種シミュレーション!$F$9+(DT5*各種シミュレーション!$F$4)*各種シミュレーション!$F$10</f>
        <v>5243024.4228079962</v>
      </c>
      <c r="DW15" s="167">
        <f>(DU5*各種シミュレーション!$F$3)*各種シミュレーション!$F$9+(DU5*各種シミュレーション!$F$4)*各種シミュレーション!$F$10</f>
        <v>5242472.5191640984</v>
      </c>
      <c r="DX15" s="167">
        <f>(DV5*各種シミュレーション!$F$3)*各種シミュレーション!$F$9+(DV5*各種シミュレーション!$F$4)*各種シミュレーション!$F$10</f>
        <v>5273141.0359550267</v>
      </c>
      <c r="DY15" s="167">
        <f>(DW5*各種シミュレーション!$F$3)*各種シミュレーション!$F$9+(DW5*各種シミュレーション!$F$4)*各種シミュレーション!$F$10</f>
        <v>5302674.81762469</v>
      </c>
      <c r="DZ15" s="167">
        <f>(DX5*各種シミュレーション!$F$3)*各種シミュレーション!$F$9+(DX5*各種シミュレーション!$F$4)*各種シミュレーション!$F$10</f>
        <v>5281195.849372576</v>
      </c>
      <c r="EA15" s="168">
        <f>(DY5*各種シミュレーション!$F$3)*各種シミュレーション!$F$9+(DY5*各種シミュレーション!$F$4)*各種シミュレーション!$F$10</f>
        <v>5251151.6029457916</v>
      </c>
      <c r="EB15" s="171">
        <f t="shared" si="220"/>
        <v>63071395.11239244</v>
      </c>
    </row>
    <row r="16" spans="1:132" s="7" customFormat="1" ht="24" customHeight="1">
      <c r="A16" s="165"/>
      <c r="B16" s="172" t="s">
        <v>45</v>
      </c>
      <c r="C16" s="167"/>
      <c r="D16" s="167"/>
      <c r="E16" s="167"/>
      <c r="F16" s="167"/>
      <c r="G16" s="167">
        <f>E8*各種シミュレーション!$F$5</f>
        <v>260400.00000000003</v>
      </c>
      <c r="H16" s="167">
        <f>F8*各種シミュレーション!$F$5</f>
        <v>260400.00000000003</v>
      </c>
      <c r="I16" s="167">
        <f>G8*各種シミュレーション!$F$5</f>
        <v>260400.00000000003</v>
      </c>
      <c r="J16" s="167">
        <f>H8*各種シミュレーション!$F$5</f>
        <v>260400.00000000003</v>
      </c>
      <c r="K16" s="167">
        <f>I8*各種シミュレーション!$F$5</f>
        <v>257535.60000000003</v>
      </c>
      <c r="L16" s="167">
        <f>J8*各種シミュレーション!$F$5</f>
        <v>254702.70840000003</v>
      </c>
      <c r="M16" s="167">
        <f>K8*各種シミュレーション!$F$5</f>
        <v>251900.97860760003</v>
      </c>
      <c r="N16" s="167">
        <f>L8*各種シミュレーション!$F$5</f>
        <v>240061.63261304281</v>
      </c>
      <c r="O16" s="169">
        <f>SUM(C16:N16)</f>
        <v>2045800.9196206431</v>
      </c>
      <c r="P16" s="167">
        <f>M8*各種シミュレーション!$F$5</f>
        <v>228778.73588022977</v>
      </c>
      <c r="Q16" s="167">
        <f>N8*各種シミュレーション!$F$5</f>
        <v>218026.13529385897</v>
      </c>
      <c r="R16" s="167">
        <f>P8*各種シミュレーション!$F$5</f>
        <v>207778.90693504759</v>
      </c>
      <c r="S16" s="167">
        <f>Q8*各種シミュレーション!$F$5</f>
        <v>198013.29830910036</v>
      </c>
      <c r="T16" s="167">
        <f>R8*各種シミュレーション!$F$5</f>
        <v>188706.67328857264</v>
      </c>
      <c r="U16" s="167">
        <f>S8*各種シミュレーション!$F$5</f>
        <v>181724.52637689546</v>
      </c>
      <c r="V16" s="167">
        <f>T8*各種シミュレーション!$F$5</f>
        <v>175000.71890095031</v>
      </c>
      <c r="W16" s="167">
        <f>U8*各種シミュレーション!$F$5</f>
        <v>168525.69230161514</v>
      </c>
      <c r="X16" s="167">
        <f>V8*各種シミュレーション!$F$5</f>
        <v>162290.24168645538</v>
      </c>
      <c r="Y16" s="167">
        <f>W8*各種シミュレーション!$F$5</f>
        <v>156285.50274405652</v>
      </c>
      <c r="Z16" s="167">
        <f>X8*各種シミュレーション!$F$5</f>
        <v>150502.93914252645</v>
      </c>
      <c r="AA16" s="167">
        <f>Y8*各種シミュレーション!$F$5</f>
        <v>144934.33039425296</v>
      </c>
      <c r="AB16" s="169">
        <f t="shared" si="221"/>
        <v>2180567.7012535613</v>
      </c>
      <c r="AC16" s="167">
        <f>Z8*各種シミュレーション!$F$5</f>
        <v>139571.76016966562</v>
      </c>
      <c r="AD16" s="167">
        <f>AA8*各種シミュレーション!$F$5</f>
        <v>134407.60504338797</v>
      </c>
      <c r="AE16" s="167">
        <f>AC8*各種シミュレーション!$F$5</f>
        <v>129434.52365678261</v>
      </c>
      <c r="AF16" s="167">
        <f>AD8*各種シミュレーション!$F$5</f>
        <v>124645.44628148167</v>
      </c>
      <c r="AG16" s="167">
        <f>(AE8*各種シミュレーション!$F$5)*各種シミュレーション!$F$9+(AE8*各種シミュレーション!$F$6)*各種シミュレーション!$F$10</f>
        <v>116604.0343470935</v>
      </c>
      <c r="AH16" s="167">
        <f>(AF8*各種シミュレーション!$F$5)*各種シミュレーション!$F$9+(AF8*各種シミュレーション!$F$6)*各種シミュレーション!$F$10</f>
        <v>112289.68507625103</v>
      </c>
      <c r="AI16" s="167">
        <f>(AG8*各種シミュレーション!$F$5)*各種シミュレーション!$F$9+(AG8*各種シミュレーション!$F$6)*各種シミュレーション!$F$10</f>
        <v>108134.96672842975</v>
      </c>
      <c r="AJ16" s="167">
        <f>(AH8*各種シミュレーション!$F$5)*各種シミュレーション!$F$9+(AH8*各種シミュレーション!$F$6)*各種シミュレーション!$F$10</f>
        <v>104133.97295947785</v>
      </c>
      <c r="AK16" s="167">
        <f>(AI8*各種シミュレーション!$F$5)*各種シミュレーション!$F$9+(AI8*各種シミュレーション!$F$6)*各種シミュレーション!$F$10</f>
        <v>100281.01595997717</v>
      </c>
      <c r="AL16" s="167">
        <f>(AJ8*各種シミュレーション!$F$5)*各種シミュレーション!$F$9+(AJ8*各種シミュレーション!$F$6)*各種シミュレーション!$F$10</f>
        <v>96570.61836945801</v>
      </c>
      <c r="AM16" s="167">
        <f>(AK8*各種シミュレーション!$F$5)*各種シミュレーション!$F$9+(AK8*各種シミュレーション!$F$6)*各種シミュレーション!$F$10</f>
        <v>92997.505489788076</v>
      </c>
      <c r="AN16" s="168">
        <f>(AL8*各種シミュレーション!$F$5)*各種シミュレーション!$F$9+(AL8*各種シミュレーション!$F$6)*各種シミュレーション!$F$10</f>
        <v>89556.597786665923</v>
      </c>
      <c r="AO16" s="169">
        <f>SUM(AC16:AN16)</f>
        <v>1348627.7318684591</v>
      </c>
      <c r="AP16" s="170">
        <f>(AN8*各種シミュレーション!$F$5)*各種シミュレーション!$F$9+(AN8*各種シミュレーション!$F$6)*各種シミュレーション!$F$10</f>
        <v>83052.012532822584</v>
      </c>
      <c r="AQ16" s="167">
        <f>(AN8*各種シミュレーション!$F$5)*各種シミュレーション!$F$9+(AN8*各種シミュレーション!$F$6)*各種シミュレーション!$F$10</f>
        <v>83052.012532822584</v>
      </c>
      <c r="AR16" s="167">
        <f>(AP8*各種シミュレーション!$F$5)*各種シミュレーション!$F$9+(AP8*各種シミュレーション!$F$6)*各種シミュレーション!$F$10</f>
        <v>79979.088069108155</v>
      </c>
      <c r="AS16" s="167">
        <f>(AQ8*各種シミュレーション!$F$5)*各種シミュレーション!$F$9+(AQ8*各種シミュレーション!$F$6)*各種シミュレーション!$F$10</f>
        <v>77019.861810551156</v>
      </c>
      <c r="AT16" s="167">
        <f>(AR8*各種シミュレーション!$F$5)*各種シミュレーション!$F$9+(AR8*各種シミュレーション!$F$6)*各種シミュレーション!$F$10</f>
        <v>74170.126923560761</v>
      </c>
      <c r="AU16" s="167">
        <f>(AS8*各種シミュレーション!$F$5)*各種シミュレーション!$F$9+(AS8*各種シミュレーション!$F$6)*各種シミュレーション!$F$10</f>
        <v>71425.832227389008</v>
      </c>
      <c r="AV16" s="167">
        <f>(AT8*各種シミュレーション!$F$5)*各種シミュレーション!$F$9+(AT8*各種シミュレーション!$F$6)*各種シミュレーション!$F$10</f>
        <v>68783.076434975621</v>
      </c>
      <c r="AW16" s="167">
        <f>(AU8*各種シミュレーション!$F$5)*各種シミュレーション!$F$9+(AU8*各種シミュレーション!$F$6)*各種シミュレーション!$F$10</f>
        <v>66238.102606881526</v>
      </c>
      <c r="AX16" s="167">
        <f>(AV8*各種シミュレーション!$F$5)*各種シミュレーション!$F$9+(AV8*各種シミュレーション!$F$6)*各種シミュレーション!$F$10</f>
        <v>63787.292810426909</v>
      </c>
      <c r="AY16" s="167">
        <f>(AW8*各種シミュレーション!$F$5)*各種シミュレーション!$F$9+(AW8*各種シミュレーション!$F$6)*各種シミュレーション!$F$10</f>
        <v>61427.162976441119</v>
      </c>
      <c r="AZ16" s="167">
        <f>(AX8*各種シミュレーション!$F$5)*各種シミュレーション!$F$9+(AX8*各種シミュレーション!$F$6)*各種シミュレーション!$F$10</f>
        <v>59154.357946312797</v>
      </c>
      <c r="BA16" s="168">
        <f>(AY8*各種シミュレーション!$F$5)*各種シミュレーション!$F$9+(AY8*各種シミュレーション!$F$6)*各種シミュレーション!$F$10</f>
        <v>56965.646702299229</v>
      </c>
      <c r="BB16" s="169">
        <f>SUM(AP16:BA16)</f>
        <v>845054.5735735913</v>
      </c>
      <c r="BC16" s="170">
        <f>(BA8*各種シミュレーション!$F$5)*各種シミュレーション!$F$9+(BA8*各種シミュレーション!$F$6)*各種シミュレーション!$F$10</f>
        <v>52828.174816664534</v>
      </c>
      <c r="BD16" s="167">
        <f>(BA8*各種シミュレーション!$F$5)*各種シミュレーション!$F$9+(BA8*各種シミュレーション!$F$6)*各種シミュレーション!$F$10</f>
        <v>52828.174816664534</v>
      </c>
      <c r="BE16" s="167">
        <f>(BC8*各種シミュレーション!$F$5)*各種シミュレーション!$F$9+(BC8*各種シミュレーション!$F$6)*各種シミュレーション!$F$10</f>
        <v>50873.532348447945</v>
      </c>
      <c r="BF16" s="167">
        <f>(BD8*各種シミュレーション!$F$5)*各種シミュレーション!$F$9+(BD8*各種シミュレーション!$F$6)*各種シミュレーション!$F$10</f>
        <v>48991.211651555379</v>
      </c>
      <c r="BG16" s="167">
        <f>(BE8*各種シミュレーション!$F$5)*各種シミュレーション!$F$9+(BE8*各種シミュレーション!$F$6)*各種シミュレーション!$F$10</f>
        <v>47178.536820447822</v>
      </c>
      <c r="BH16" s="167">
        <f>(BF8*各種シミュレーション!$F$5)*各種シミュレーション!$F$9+(BF8*各種シミュレーション!$F$6)*各種シミュレーション!$F$10</f>
        <v>45432.930958091252</v>
      </c>
      <c r="BI16" s="167">
        <f>(BG8*各種シミュレーション!$F$5)*各種シミュレーション!$F$9+(BG8*各種シミュレーション!$F$6)*各種シミュレーション!$F$10</f>
        <v>43751.91251264188</v>
      </c>
      <c r="BJ16" s="167">
        <f>(BH8*各種シミュレーション!$F$5)*各種シミュレーション!$F$9+(BH8*各種シミュレーション!$F$6)*各種シミュレーション!$F$10</f>
        <v>42133.091749674131</v>
      </c>
      <c r="BK16" s="167">
        <f>(BI8*各種シミュレーション!$F$5)*各種シミュレーション!$F$9+(BI8*各種シミュレーション!$F$6)*各種シミュレーション!$F$10</f>
        <v>40574.167354936173</v>
      </c>
      <c r="BL16" s="167">
        <f>(BJ8*各種シミュレーション!$F$5)*各種シミュレーション!$F$9+(BJ8*各種シミュレーション!$F$6)*各種シミュレーション!$F$10</f>
        <v>39072.923162803541</v>
      </c>
      <c r="BM16" s="167">
        <f>(BK8*各種シミュレーション!$F$5)*各種シミュレーション!$F$9+(BK8*各種シミュレーション!$F$6)*各種シミュレーション!$F$10</f>
        <v>37627.225005779808</v>
      </c>
      <c r="BN16" s="168">
        <f>(BL8*各種シミュレーション!$F$5)*各種シミュレーション!$F$9+(BL8*各種シミュレーション!$F$6)*各種シミュレーション!$F$10</f>
        <v>36235.017680565958</v>
      </c>
      <c r="BO16" s="169">
        <f t="shared" si="165"/>
        <v>537526.89887827297</v>
      </c>
      <c r="BP16" s="170">
        <f>(BN8*各種シミュレーション!$F$5)*各種シミュレーション!$F$9+(BN8*各種シミュレーション!$F$6)*各種シミュレーション!$F$10</f>
        <v>33603.232111408768</v>
      </c>
      <c r="BQ16" s="167">
        <f>(BN8*各種シミュレーション!$F$5)*各種シミュレーション!$F$9+(BN8*各種シミュレーション!$F$6)*各種シミュレーション!$F$10</f>
        <v>33603.232111408768</v>
      </c>
      <c r="BR16" s="167">
        <f>(BP8*各種シミュレーション!$F$5)*各種シミュレーション!$F$9+(BP8*各種シミュレーション!$F$6)*各種シミュレーション!$F$10</f>
        <v>32359.91252328665</v>
      </c>
      <c r="BS16" s="167">
        <f>(BQ8*各種シミュレーション!$F$5)*各種シミュレーション!$F$9+(BQ8*各種シミュレーション!$F$6)*各種シミュレーション!$F$10</f>
        <v>31162.59575992504</v>
      </c>
      <c r="BT16" s="167">
        <f>(BR8*各種シミュレーション!$F$5)*各種シミュレーション!$F$9+(BR8*各種シミュレーション!$F$6)*各種シミュレーション!$F$10</f>
        <v>30009.579716807813</v>
      </c>
      <c r="BU16" s="167">
        <f>(BS8*各種シミュレーション!$F$5)*各種シミュレーション!$F$9+(BS8*各種シミュレーション!$F$6)*各種シミュレーション!$F$10</f>
        <v>28899.225267285925</v>
      </c>
      <c r="BV16" s="167">
        <f>(BT8*各種シミュレーション!$F$5)*各種シミュレーション!$F$9+(BT8*各種シミュレーション!$F$6)*各種シミュレーション!$F$10</f>
        <v>27829.953932396344</v>
      </c>
      <c r="BW16" s="167">
        <f>(BU8*各種シミュレーション!$F$5)*各種シミュレーション!$F$9+(BU8*各種シミュレーション!$F$6)*各種シミュレーション!$F$10</f>
        <v>26800.245636897678</v>
      </c>
      <c r="BX16" s="167">
        <f>(BV8*各種シミュレーション!$F$5)*各種シミュレーション!$F$9+(BV8*各種シミュレーション!$F$6)*各種シミュレーション!$F$10</f>
        <v>25808.636548332463</v>
      </c>
      <c r="BY16" s="167">
        <f>(BW8*各種シミュレーション!$F$5)*各種シミュレーション!$F$9+(BW8*各種シミュレーション!$F$6)*各種シミュレーション!$F$10</f>
        <v>24853.716996044157</v>
      </c>
      <c r="BZ16" s="167">
        <f>(BX8*各種シミュレーション!$F$5)*各種シミュレーション!$F$9+(BX8*各種シミュレーション!$F$6)*各種シミュレーション!$F$10</f>
        <v>23934.129467190527</v>
      </c>
      <c r="CA16" s="168">
        <f>(BY8*各種シミュレーション!$F$5)*各種シミュレーション!$F$9+(BY8*各種シミュレーション!$F$6)*各種シミュレーション!$F$10</f>
        <v>23048.566676904476</v>
      </c>
      <c r="CB16" s="169">
        <f t="shared" si="176"/>
        <v>341913.02674788865</v>
      </c>
      <c r="CC16" s="170">
        <f>(CA8*各種シミュレーション!$F$5)*各種シミュレーション!$F$9+(CA8*各種シミュレーション!$F$6)*各種シミュレーション!$F$10</f>
        <v>21374.526230594231</v>
      </c>
      <c r="CD16" s="167">
        <f>(CA8*各種シミュレーション!$F$5)*各種シミュレーション!$F$9+(CA8*各種シミュレーション!$F$6)*各種シミュレーション!$F$10</f>
        <v>21374.526230594231</v>
      </c>
      <c r="CE16" s="167">
        <f>(CC8*各種シミュレーション!$F$5)*各種シミュレーション!$F$9+(CC8*各種シミュレーション!$F$6)*各種シミュレーション!$F$10</f>
        <v>20583.668760062243</v>
      </c>
      <c r="CF16" s="167">
        <f>(CD8*各種シミュレーション!$F$5)*各種シミュレーション!$F$9+(CD8*各種シミュレーション!$F$6)*各種シミュレーション!$F$10</f>
        <v>19822.073015939939</v>
      </c>
      <c r="CG16" s="167">
        <f>(CE8*各種シミュレーション!$F$5)*各種シミュレーション!$F$9+(CE8*各種シミュレーション!$F$6)*各種シミュレーション!$F$10</f>
        <v>19088.656314350163</v>
      </c>
      <c r="CH16" s="167">
        <f>(CF8*各種シミュレーション!$F$5)*各種シミュレーション!$F$9+(CF8*各種シミュレーション!$F$6)*各種シミュレーション!$F$10</f>
        <v>18382.37603071921</v>
      </c>
      <c r="CI16" s="167">
        <f>(CG8*各種シミュレーション!$F$5)*各種シミュレーション!$F$9+(CG8*各種シミュレーション!$F$6)*各種シミュレーション!$F$10</f>
        <v>17702.228117582599</v>
      </c>
      <c r="CJ16" s="167">
        <f>(CH8*各種シミュレーション!$F$5)*各種シミュレーション!$F$9+(CH8*各種シミュレーション!$F$6)*各種シミュレーション!$F$10</f>
        <v>17047.245677232044</v>
      </c>
      <c r="CK16" s="167">
        <f>(CI8*各種シミュレーション!$F$5)*各種シミュレーション!$F$9+(CI8*各種シミュレーション!$F$6)*各種シミュレーション!$F$10</f>
        <v>16416.497587174457</v>
      </c>
      <c r="CL16" s="167">
        <f>(CJ8*各種シミュレーション!$F$5)*各種シミュレーション!$F$9+(CJ8*各種シミュレーション!$F$6)*各種シミュレーション!$F$10</f>
        <v>15809.087176449</v>
      </c>
      <c r="CM16" s="167">
        <f>(CK8*各種シミュレーション!$F$5)*各種シミュレーション!$F$9+(CK8*各種シミュレーション!$F$6)*各種シミュレーション!$F$10</f>
        <v>15224.150950920388</v>
      </c>
      <c r="CN16" s="168">
        <f>(CL8*各種シミュレーション!$F$5)*各種シミュレーション!$F$9+(CL8*各種シミュレーション!$F$6)*各種シミュレーション!$F$10</f>
        <v>14660.857365736334</v>
      </c>
      <c r="CO16" s="169">
        <f t="shared" si="187"/>
        <v>217485.89345735483</v>
      </c>
      <c r="CP16" s="170">
        <f>(CN8*各種シミュレーション!$F$5)*各種シミュレーション!$F$9+(CN8*各種シミュレーション!$F$6)*各種シミュレーション!$F$10</f>
        <v>13596.024634405541</v>
      </c>
      <c r="CQ16" s="167">
        <f>(CN8*各種シミュレーション!$F$5)*各種シミュレーション!$F$9+(CN8*各種シミュレーション!$F$6)*各種シミュレーション!$F$10</f>
        <v>13596.024634405541</v>
      </c>
      <c r="CR16" s="167">
        <f>(CP8*各種シミュレーション!$F$5)*各種シミュレーション!$F$9+(CP8*各種シミュレーション!$F$6)*各種シミュレーション!$F$10</f>
        <v>13092.971722932534</v>
      </c>
      <c r="CS16" s="167">
        <f>(CQ8*各種シミュレーション!$F$5)*各種シミュレーション!$F$9+(CQ8*各種シミュレーション!$F$6)*各種シミュレーション!$F$10</f>
        <v>12608.53176918403</v>
      </c>
      <c r="CT16" s="167">
        <f>(CR8*各種シミュレーション!$F$5)*各種シミュレーション!$F$9+(CR8*各種シミュレーション!$F$6)*各種シミュレーション!$F$10</f>
        <v>12142.01609372422</v>
      </c>
      <c r="CU16" s="167">
        <f>(CS8*各種シミュレーション!$F$5)*各種シミュレーション!$F$9+(CS8*各種シミュレーション!$F$6)*各種シミュレーション!$F$10</f>
        <v>11692.761498256425</v>
      </c>
      <c r="CV16" s="167">
        <f>(CT8*各種シミュレーション!$F$5)*各種シミュレーション!$F$9+(CT8*各種シミュレーション!$F$6)*各種シミュレーション!$F$10</f>
        <v>11260.129322820936</v>
      </c>
      <c r="CW16" s="167">
        <f>(CU8*各種シミュレーション!$F$5)*各種シミュレーション!$F$9+(CU8*各種シミュレーション!$F$6)*各種シミュレーション!$F$10</f>
        <v>10843.504537876563</v>
      </c>
      <c r="CX16" s="167">
        <f>(CV8*各種シミュレーション!$F$5)*各種シミュレーション!$F$9+(CV8*各種シミュレーション!$F$6)*各種シミュレーション!$F$10</f>
        <v>10442.29486997513</v>
      </c>
      <c r="CY16" s="167">
        <f>(CW8*各種シミュレーション!$F$5)*各種シミュレーション!$F$9+(CW8*各種シミュレーション!$F$6)*各種シミュレーション!$F$10</f>
        <v>10055.929959786052</v>
      </c>
      <c r="CZ16" s="167">
        <f>(CX8*各種シミュレーション!$F$5)*各種シミュレーション!$F$9+(CX8*各種シミュレーション!$F$6)*各種シミュレーション!$F$10</f>
        <v>9683.8605512739668</v>
      </c>
      <c r="DA16" s="168">
        <f>(CY8*各種シミュレーション!$F$5)*各種シミュレーション!$F$9+(CY8*各種シミュレーション!$F$6)*各種シミュレーション!$F$10</f>
        <v>9325.5577108768302</v>
      </c>
      <c r="DB16" s="169">
        <f t="shared" si="198"/>
        <v>138339.60730551777</v>
      </c>
      <c r="DC16" s="170">
        <f>(DA8*各種シミュレーション!$F$5)*各種シミュレーション!$F$9+(DA8*各種シミュレーション!$F$6)*各種シミュレーション!$F$10</f>
        <v>8648.2331287781344</v>
      </c>
      <c r="DD16" s="167">
        <f>(DA8*各種シミュレーション!$F$5)*各種シミュレーション!$F$9+(DA8*各種シミュレーション!$F$6)*各種シミュレーション!$F$10</f>
        <v>8648.2331287781344</v>
      </c>
      <c r="DE16" s="167">
        <f>(DC8*各種シミュレーション!$F$5)*各種シミュレーション!$F$9+(DC8*各種シミュレーション!$F$6)*各種シミュレーション!$F$10</f>
        <v>8328.2485030133448</v>
      </c>
      <c r="DF16" s="167">
        <f>(DD8*各種シミュレーション!$F$5)*各種シミュレーション!$F$9+(DD8*各種シミュレーション!$F$6)*各種シミュレーション!$F$10</f>
        <v>8020.1033084018518</v>
      </c>
      <c r="DG16" s="167">
        <f>(DE8*各種シミュレーション!$F$5)*各種シミュレーション!$F$9+(DE8*各種シミュレーション!$F$6)*各種シミュレーション!$F$10</f>
        <v>7723.3594859909826</v>
      </c>
      <c r="DH16" s="167">
        <f>(DF8*各種シミュレーション!$F$5)*各種シミュレーション!$F$9+(DF8*各種シミュレーション!$F$6)*各種シミュレーション!$F$10</f>
        <v>7437.5951850093161</v>
      </c>
      <c r="DI16" s="167">
        <f>(DG8*各種シミュレーション!$F$5)*各種シミュレーション!$F$9+(DG8*各種シミュレーション!$F$6)*各種シミュレーション!$F$10</f>
        <v>7162.4041631639702</v>
      </c>
      <c r="DJ16" s="167">
        <f>(DH8*各種シミュレーション!$F$5)*各種シミュレーション!$F$9+(DH8*各種シミュレーション!$F$6)*各種シミュレーション!$F$10</f>
        <v>6897.3952091269039</v>
      </c>
      <c r="DK16" s="167">
        <f>(DI8*各種シミュレーション!$F$5)*各種シミュレーション!$F$9+(DI8*各種シミュレーション!$F$6)*各種シミュレーション!$F$10</f>
        <v>6642.1915863892082</v>
      </c>
      <c r="DL16" s="167">
        <f>(DJ8*各種シミュレーション!$F$5)*各種シミュレーション!$F$9+(DJ8*各種シミュレーション!$F$6)*各種シミュレーション!$F$10</f>
        <v>6396.4304976928079</v>
      </c>
      <c r="DM16" s="167">
        <f>(DK8*各種シミュレーション!$F$5)*各種シミュレーション!$F$9+(DK8*各種シミュレーション!$F$6)*各種シミュレーション!$F$10</f>
        <v>6159.7625692781739</v>
      </c>
      <c r="DN16" s="168">
        <f>(DL8*各種シミュレーション!$F$5)*各種シミュレーション!$F$9+(DL8*各種シミュレーション!$F$6)*各種シミュレーション!$F$10</f>
        <v>5931.8513542148812</v>
      </c>
      <c r="DO16" s="169">
        <f t="shared" si="209"/>
        <v>87995.808119837719</v>
      </c>
      <c r="DP16" s="170">
        <f>(DN8*各種シミュレーション!$F$5)*各種シミュレーション!$F$9+(DN8*各種シミュレーション!$F$6)*各種シミュレーション!$F$10</f>
        <v>5501.0150585068995</v>
      </c>
      <c r="DQ16" s="167">
        <f>(DN8*各種シミュレーション!$F$5)*各種シミュレーション!$F$9+(DN8*各種シミュレーション!$F$6)*各種シミュレーション!$F$10</f>
        <v>5501.0150585068995</v>
      </c>
      <c r="DR16" s="167">
        <f>(DP8*各種シミュレーション!$F$5)*各種シミュレーション!$F$9+(DP8*各種シミュレーション!$F$6)*各種シミュレーション!$F$10</f>
        <v>5297.4775013421449</v>
      </c>
      <c r="DS16" s="167">
        <f>(DQ8*各種シミュレーション!$F$5)*各種シミュレーション!$F$9+(DQ8*各種シミュレーション!$F$6)*各種シミュレーション!$F$10</f>
        <v>5101.4708337924867</v>
      </c>
      <c r="DT16" s="167">
        <f>(DR8*各種シミュレーション!$F$5)*各種シミュレーション!$F$9+(DR8*各種シミュレーション!$F$6)*各種シミュレーション!$F$10</f>
        <v>4912.7164129421644</v>
      </c>
      <c r="DU16" s="167">
        <f>(DS8*各種シミュレーション!$F$5)*各種シミュレーション!$F$9+(DS8*各種シミュレーション!$F$6)*各種シミュレーション!$F$10</f>
        <v>4730.945905663305</v>
      </c>
      <c r="DV16" s="167">
        <f>(DT8*各種シミュレーション!$F$5)*各種シミュレーション!$F$9+(DT8*各種シミュレーション!$F$6)*各種シミュレーション!$F$10</f>
        <v>4555.9009071537621</v>
      </c>
      <c r="DW16" s="167">
        <f>(DU8*各種シミュレーション!$F$5)*各種シミュレーション!$F$9+(DU8*各種シミュレーション!$F$6)*各種シミュレーション!$F$10</f>
        <v>4387.3325735890721</v>
      </c>
      <c r="DX16" s="167">
        <f>(DV8*各種シミュレーション!$F$5)*各種シミュレーション!$F$9+(DV8*各種シミュレーション!$F$6)*各種シミュレーション!$F$10</f>
        <v>4225.0012683662771</v>
      </c>
      <c r="DY16" s="167">
        <f>(DW8*各種シミュレーション!$F$5)*各種シミュレーション!$F$9+(DW8*各種シミュレーション!$F$6)*各種シミュレーション!$F$10</f>
        <v>4068.676221436725</v>
      </c>
      <c r="DZ16" s="167">
        <f>(DX8*各種シミュレーション!$F$5)*各種シミュレーション!$F$9+(DX8*各種シミュレーション!$F$6)*各種シミュレーション!$F$10</f>
        <v>3918.1352012435659</v>
      </c>
      <c r="EA16" s="168">
        <f>(DY8*各種シミュレーション!$F$5)*各種シミュレーション!$F$9+(DY8*各種シミュレーション!$F$6)*各種シミュレーション!$F$10</f>
        <v>3773.1641987975536</v>
      </c>
      <c r="EB16" s="171">
        <f t="shared" si="220"/>
        <v>55972.851141340856</v>
      </c>
    </row>
    <row r="17" spans="1:132" s="7" customFormat="1" ht="24" customHeight="1">
      <c r="A17" s="165"/>
      <c r="B17" s="172" t="s">
        <v>149</v>
      </c>
      <c r="C17" s="167"/>
      <c r="D17" s="167"/>
      <c r="E17" s="167"/>
      <c r="F17" s="167"/>
      <c r="G17" s="173" t="s">
        <v>150</v>
      </c>
      <c r="H17" s="173" t="s">
        <v>150</v>
      </c>
      <c r="I17" s="173" t="s">
        <v>150</v>
      </c>
      <c r="J17" s="173" t="s">
        <v>150</v>
      </c>
      <c r="K17" s="173" t="s">
        <v>150</v>
      </c>
      <c r="L17" s="173" t="s">
        <v>150</v>
      </c>
      <c r="M17" s="173" t="s">
        <v>150</v>
      </c>
      <c r="N17" s="174" t="s">
        <v>150</v>
      </c>
      <c r="O17" s="169"/>
      <c r="P17" s="175" t="s">
        <v>150</v>
      </c>
      <c r="Q17" s="173" t="s">
        <v>150</v>
      </c>
      <c r="R17" s="173" t="s">
        <v>150</v>
      </c>
      <c r="S17" s="173" t="s">
        <v>150</v>
      </c>
      <c r="T17" s="173" t="s">
        <v>150</v>
      </c>
      <c r="U17" s="173" t="s">
        <v>150</v>
      </c>
      <c r="V17" s="173" t="s">
        <v>150</v>
      </c>
      <c r="W17" s="173" t="s">
        <v>150</v>
      </c>
      <c r="X17" s="173" t="s">
        <v>150</v>
      </c>
      <c r="Y17" s="173" t="s">
        <v>150</v>
      </c>
      <c r="Z17" s="173" t="s">
        <v>150</v>
      </c>
      <c r="AA17" s="174" t="s">
        <v>150</v>
      </c>
      <c r="AB17" s="169"/>
      <c r="AC17" s="175" t="s">
        <v>150</v>
      </c>
      <c r="AD17" s="173" t="s">
        <v>150</v>
      </c>
      <c r="AE17" s="167">
        <f>各種シミュレーション!$F$13*'損益計算｜詳細'!AD6</f>
        <v>168000</v>
      </c>
      <c r="AF17" s="167">
        <f>各種シミュレーション!$F$13*'損益計算｜詳細'!AE6</f>
        <v>189600</v>
      </c>
      <c r="AG17" s="167">
        <f>各種シミュレーション!$F$13*'損益計算｜詳細'!AF6</f>
        <v>134400</v>
      </c>
      <c r="AH17" s="167">
        <f>各種シミュレーション!$F$13*'損益計算｜詳細'!AG6</f>
        <v>199200.00000000003</v>
      </c>
      <c r="AI17" s="167">
        <f>各種シミュレーション!$F$13*'損益計算｜詳細'!AH6</f>
        <v>180000</v>
      </c>
      <c r="AJ17" s="167">
        <f>各種シミュレーション!$F$13*'損益計算｜詳細'!AI6</f>
        <v>144000</v>
      </c>
      <c r="AK17" s="167">
        <f>各種シミュレーション!$F$13*'損益計算｜詳細'!AJ6</f>
        <v>122400.00000000001</v>
      </c>
      <c r="AL17" s="167">
        <f>各種シミュレーション!$F$13*'損益計算｜詳細'!AK6</f>
        <v>158400</v>
      </c>
      <c r="AM17" s="167">
        <f>各種シミュレーション!$F$13*'損益計算｜詳細'!AL6</f>
        <v>115200.00000000001</v>
      </c>
      <c r="AN17" s="168">
        <f>各種シミュレーション!$F$13*'損益計算｜詳細'!AM6</f>
        <v>103200</v>
      </c>
      <c r="AO17" s="169">
        <f>SUM(AC17:AN17)</f>
        <v>1514400</v>
      </c>
      <c r="AP17" s="170">
        <f>各種シミュレーション!$F$13*'損益計算｜詳細'!AN6</f>
        <v>88800</v>
      </c>
      <c r="AQ17" s="167">
        <f>各種シミュレーション!$F$13*'損益計算｜詳細'!AP6</f>
        <v>187200.00000000003</v>
      </c>
      <c r="AR17" s="167">
        <f>各種シミュレーション!$F$13*'損益計算｜詳細'!AQ6</f>
        <v>103200</v>
      </c>
      <c r="AS17" s="167">
        <f>各種シミュレーション!$F$13*'損益計算｜詳細'!AR6</f>
        <v>129600.00000000001</v>
      </c>
      <c r="AT17" s="167">
        <f>各種シミュレーション!$F$13*'損益計算｜詳細'!AS6</f>
        <v>156000</v>
      </c>
      <c r="AU17" s="167">
        <f>各種シミュレーション!$F$13*'損益計算｜詳細'!AT6</f>
        <v>153600</v>
      </c>
      <c r="AV17" s="167">
        <f>各種シミュレーション!$F$13*'損益計算｜詳細'!AU6</f>
        <v>148800</v>
      </c>
      <c r="AW17" s="167">
        <f>各種シミュレーション!$F$13*'損益計算｜詳細'!AV6</f>
        <v>172800</v>
      </c>
      <c r="AX17" s="167">
        <f>各種シミュレーション!$F$13*'損益計算｜詳細'!AW6</f>
        <v>172800</v>
      </c>
      <c r="AY17" s="167">
        <f>各種シミュレーション!$F$13*'損益計算｜詳細'!AX6</f>
        <v>134400</v>
      </c>
      <c r="AZ17" s="167">
        <f>各種シミュレーション!$F$13*'損益計算｜詳細'!AY6</f>
        <v>127200.00000000001</v>
      </c>
      <c r="BA17" s="168">
        <f>各種シミュレーション!$F$13*'損益計算｜詳細'!AZ6</f>
        <v>103200</v>
      </c>
      <c r="BB17" s="169">
        <f>SUM(AP17:BA17)</f>
        <v>1677600</v>
      </c>
      <c r="BC17" s="170">
        <f>各種シミュレーション!$F$13*'損益計算｜詳細'!BA6</f>
        <v>218400</v>
      </c>
      <c r="BD17" s="167">
        <f>各種シミュレーション!$F$13*'損益計算｜詳細'!BC6</f>
        <v>187200.00000000003</v>
      </c>
      <c r="BE17" s="167">
        <f>各種シミュレーション!$F$13*'損益計算｜詳細'!BD6</f>
        <v>103200</v>
      </c>
      <c r="BF17" s="167">
        <f>各種シミュレーション!$F$13*'損益計算｜詳細'!BE6</f>
        <v>129600.00000000001</v>
      </c>
      <c r="BG17" s="167">
        <f>各種シミュレーション!$F$13*'損益計算｜詳細'!BF6</f>
        <v>156000</v>
      </c>
      <c r="BH17" s="167">
        <f>各種シミュレーション!$F$13*'損益計算｜詳細'!BG6</f>
        <v>153600</v>
      </c>
      <c r="BI17" s="167">
        <f>各種シミュレーション!$F$13*'損益計算｜詳細'!BH6</f>
        <v>148800</v>
      </c>
      <c r="BJ17" s="167">
        <f>各種シミュレーション!$F$13*'損益計算｜詳細'!BI6</f>
        <v>172800</v>
      </c>
      <c r="BK17" s="167">
        <f>各種シミュレーション!$F$13*'損益計算｜詳細'!BJ6</f>
        <v>172800</v>
      </c>
      <c r="BL17" s="167">
        <f>各種シミュレーション!$F$13*'損益計算｜詳細'!BK6</f>
        <v>134400</v>
      </c>
      <c r="BM17" s="167">
        <f>各種シミュレーション!$F$13*'損益計算｜詳細'!BL6</f>
        <v>127200.00000000001</v>
      </c>
      <c r="BN17" s="168">
        <f>各種シミュレーション!$F$13*'損益計算｜詳細'!BM6</f>
        <v>103200</v>
      </c>
      <c r="BO17" s="169">
        <f>SUM(BC17:BN17)</f>
        <v>1807200</v>
      </c>
      <c r="BP17" s="170">
        <f>各種シミュレーション!$F$13*'損益計算｜詳細'!BN6</f>
        <v>218400</v>
      </c>
      <c r="BQ17" s="167">
        <f>各種シミュレーション!$F$13*'損益計算｜詳細'!BP6</f>
        <v>187200.00000000003</v>
      </c>
      <c r="BR17" s="167">
        <f>各種シミュレーション!$F$13*'損益計算｜詳細'!BQ6</f>
        <v>103200</v>
      </c>
      <c r="BS17" s="167">
        <f>各種シミュレーション!$F$13*'損益計算｜詳細'!BR6</f>
        <v>129600.00000000001</v>
      </c>
      <c r="BT17" s="167">
        <f>各種シミュレーション!$F$13*'損益計算｜詳細'!BS6</f>
        <v>156000</v>
      </c>
      <c r="BU17" s="167">
        <f>各種シミュレーション!$F$13*'損益計算｜詳細'!BT6</f>
        <v>153600</v>
      </c>
      <c r="BV17" s="167">
        <f>各種シミュレーション!$F$13*'損益計算｜詳細'!BU6</f>
        <v>148800</v>
      </c>
      <c r="BW17" s="167">
        <f>各種シミュレーション!$F$13*'損益計算｜詳細'!BV6</f>
        <v>172800</v>
      </c>
      <c r="BX17" s="167">
        <f>各種シミュレーション!$F$13*'損益計算｜詳細'!BW6</f>
        <v>172800</v>
      </c>
      <c r="BY17" s="167">
        <f>各種シミュレーション!$F$13*'損益計算｜詳細'!BX6</f>
        <v>134400</v>
      </c>
      <c r="BZ17" s="167">
        <f>各種シミュレーション!$F$13*'損益計算｜詳細'!BY6</f>
        <v>127200.00000000001</v>
      </c>
      <c r="CA17" s="168">
        <f>各種シミュレーション!$F$13*'損益計算｜詳細'!BZ6</f>
        <v>103200</v>
      </c>
      <c r="CB17" s="169">
        <f>SUM(BP17:CA17)</f>
        <v>1807200</v>
      </c>
      <c r="CC17" s="170">
        <f>各種シミュレーション!$F$13*'損益計算｜詳細'!CA6</f>
        <v>218400</v>
      </c>
      <c r="CD17" s="167">
        <f>各種シミュレーション!$F$13*'損益計算｜詳細'!CC6</f>
        <v>187200.00000000003</v>
      </c>
      <c r="CE17" s="167">
        <f>各種シミュレーション!$F$13*'損益計算｜詳細'!CD6</f>
        <v>103200</v>
      </c>
      <c r="CF17" s="167">
        <f>各種シミュレーション!$F$13*'損益計算｜詳細'!CE6</f>
        <v>129600.00000000001</v>
      </c>
      <c r="CG17" s="167">
        <f>各種シミュレーション!$F$13*'損益計算｜詳細'!CF6</f>
        <v>156000</v>
      </c>
      <c r="CH17" s="167">
        <f>各種シミュレーション!$F$13*'損益計算｜詳細'!CG6</f>
        <v>153600</v>
      </c>
      <c r="CI17" s="167">
        <f>各種シミュレーション!$F$13*'損益計算｜詳細'!CH6</f>
        <v>148800</v>
      </c>
      <c r="CJ17" s="167">
        <f>各種シミュレーション!$F$13*'損益計算｜詳細'!CI6</f>
        <v>172800</v>
      </c>
      <c r="CK17" s="167">
        <f>各種シミュレーション!$F$13*'損益計算｜詳細'!CJ6</f>
        <v>172800</v>
      </c>
      <c r="CL17" s="167">
        <f>各種シミュレーション!$F$13*'損益計算｜詳細'!CK6</f>
        <v>134400</v>
      </c>
      <c r="CM17" s="167">
        <f>各種シミュレーション!$F$13*'損益計算｜詳細'!CL6</f>
        <v>127200.00000000001</v>
      </c>
      <c r="CN17" s="168">
        <f>各種シミュレーション!$F$13*'損益計算｜詳細'!CM6</f>
        <v>103200</v>
      </c>
      <c r="CO17" s="169">
        <f>SUM(CC17:CN17)</f>
        <v>1807200</v>
      </c>
      <c r="CP17" s="170">
        <f>各種シミュレーション!$F$13*'損益計算｜詳細'!CN6</f>
        <v>218400</v>
      </c>
      <c r="CQ17" s="167">
        <f>各種シミュレーション!$F$13*'損益計算｜詳細'!CP6</f>
        <v>187200.00000000003</v>
      </c>
      <c r="CR17" s="167">
        <f>各種シミュレーション!$F$13*'損益計算｜詳細'!CQ6</f>
        <v>103200</v>
      </c>
      <c r="CS17" s="167">
        <f>各種シミュレーション!$F$13*'損益計算｜詳細'!CR6</f>
        <v>129600.00000000001</v>
      </c>
      <c r="CT17" s="167">
        <f>各種シミュレーション!$F$13*'損益計算｜詳細'!CS6</f>
        <v>156000</v>
      </c>
      <c r="CU17" s="167">
        <f>各種シミュレーション!$F$13*'損益計算｜詳細'!CT6</f>
        <v>153600</v>
      </c>
      <c r="CV17" s="167">
        <f>各種シミュレーション!$F$13*'損益計算｜詳細'!CU6</f>
        <v>148800</v>
      </c>
      <c r="CW17" s="167">
        <f>各種シミュレーション!$F$13*'損益計算｜詳細'!CV6</f>
        <v>172800</v>
      </c>
      <c r="CX17" s="167">
        <f>各種シミュレーション!$F$13*'損益計算｜詳細'!CW6</f>
        <v>172800</v>
      </c>
      <c r="CY17" s="167">
        <f>各種シミュレーション!$F$13*'損益計算｜詳細'!CX6</f>
        <v>134400</v>
      </c>
      <c r="CZ17" s="167">
        <f>各種シミュレーション!$F$13*'損益計算｜詳細'!CY6</f>
        <v>127200.00000000001</v>
      </c>
      <c r="DA17" s="168">
        <f>各種シミュレーション!$F$13*'損益計算｜詳細'!CZ6</f>
        <v>103200</v>
      </c>
      <c r="DB17" s="169">
        <f>SUM(CP17:DA17)</f>
        <v>1807200</v>
      </c>
      <c r="DC17" s="170">
        <f>各種シミュレーション!$F$13*'損益計算｜詳細'!DA6</f>
        <v>218400</v>
      </c>
      <c r="DD17" s="167">
        <f>各種シミュレーション!$F$13*'損益計算｜詳細'!DC6</f>
        <v>187200.00000000003</v>
      </c>
      <c r="DE17" s="167">
        <f>各種シミュレーション!$F$13*'損益計算｜詳細'!DD6</f>
        <v>103200</v>
      </c>
      <c r="DF17" s="167">
        <f>各種シミュレーション!$F$13*'損益計算｜詳細'!DE6</f>
        <v>129600.00000000001</v>
      </c>
      <c r="DG17" s="167">
        <f>各種シミュレーション!$F$13*'損益計算｜詳細'!DF6</f>
        <v>156000</v>
      </c>
      <c r="DH17" s="167">
        <f>各種シミュレーション!$F$13*'損益計算｜詳細'!DG6</f>
        <v>153600</v>
      </c>
      <c r="DI17" s="167">
        <f>各種シミュレーション!$F$13*'損益計算｜詳細'!DH6</f>
        <v>148800</v>
      </c>
      <c r="DJ17" s="167">
        <f>各種シミュレーション!$F$13*'損益計算｜詳細'!DI6</f>
        <v>172800</v>
      </c>
      <c r="DK17" s="167">
        <f>各種シミュレーション!$F$13*'損益計算｜詳細'!DJ6</f>
        <v>172800</v>
      </c>
      <c r="DL17" s="167">
        <f>各種シミュレーション!$F$13*'損益計算｜詳細'!DK6</f>
        <v>134400</v>
      </c>
      <c r="DM17" s="167">
        <f>各種シミュレーション!$F$13*'損益計算｜詳細'!DL6</f>
        <v>127200.00000000001</v>
      </c>
      <c r="DN17" s="168">
        <f>各種シミュレーション!$F$13*'損益計算｜詳細'!DM6</f>
        <v>103200</v>
      </c>
      <c r="DO17" s="169">
        <f>SUM(DC17:DN17)</f>
        <v>1807200</v>
      </c>
      <c r="DP17" s="170">
        <f>各種シミュレーション!$F$13*'損益計算｜詳細'!DN6</f>
        <v>218400</v>
      </c>
      <c r="DQ17" s="167">
        <f>各種シミュレーション!$F$13*'損益計算｜詳細'!DP6</f>
        <v>187200.00000000003</v>
      </c>
      <c r="DR17" s="167">
        <f>各種シミュレーション!$F$13*'損益計算｜詳細'!DQ6</f>
        <v>103200</v>
      </c>
      <c r="DS17" s="167">
        <f>各種シミュレーション!$F$13*'損益計算｜詳細'!DR6</f>
        <v>129600.00000000001</v>
      </c>
      <c r="DT17" s="167">
        <f>各種シミュレーション!$F$13*'損益計算｜詳細'!DS6</f>
        <v>156000</v>
      </c>
      <c r="DU17" s="167">
        <f>各種シミュレーション!$F$13*'損益計算｜詳細'!DT6</f>
        <v>153600</v>
      </c>
      <c r="DV17" s="167">
        <f>各種シミュレーション!$F$13*'損益計算｜詳細'!DU6</f>
        <v>148800</v>
      </c>
      <c r="DW17" s="167">
        <f>各種シミュレーション!$F$13*'損益計算｜詳細'!DV6</f>
        <v>172800</v>
      </c>
      <c r="DX17" s="167">
        <f>各種シミュレーション!$F$13*'損益計算｜詳細'!DW6</f>
        <v>172800</v>
      </c>
      <c r="DY17" s="167">
        <f>各種シミュレーション!$F$13*'損益計算｜詳細'!DX6</f>
        <v>134400</v>
      </c>
      <c r="DZ17" s="167">
        <f>各種シミュレーション!$F$13*'損益計算｜詳細'!DY6</f>
        <v>127200.00000000001</v>
      </c>
      <c r="EA17" s="168">
        <f>各種シミュレーション!$F$13*'損益計算｜詳細'!DZ6</f>
        <v>103200</v>
      </c>
      <c r="EB17" s="171">
        <f>SUM(DP17:EA17)</f>
        <v>1807200</v>
      </c>
    </row>
    <row r="18" spans="1:132" s="7" customFormat="1" ht="24" customHeight="1">
      <c r="A18" s="165"/>
      <c r="B18" s="172" t="s">
        <v>50</v>
      </c>
      <c r="C18" s="167"/>
      <c r="D18" s="167"/>
      <c r="E18" s="167"/>
      <c r="F18" s="167"/>
      <c r="G18" s="167"/>
      <c r="H18" s="167"/>
      <c r="I18" s="167">
        <f>-(I7+I10)*(各種シミュレーション!$F$5*各種シミュレーション!$F$9)-(I7+I10)*(各種シミュレーション!$F$6*各種シミュレーション!$F$10)</f>
        <v>32313.599999999999</v>
      </c>
      <c r="J18" s="167">
        <f>-(J7+J10)*(各種シミュレーション!$F$5*各種シミュレーション!$F$9)-(J7+J10)*(各種シミュレーション!$F$6*各種シミュレーション!$F$10)</f>
        <v>33184.870399999993</v>
      </c>
      <c r="K18" s="167">
        <f>-(K7+K10)*(各種シミュレーション!$F$5*各種シミュレーション!$F$9)-(K7+K10)*(各種シミュレーション!$F$6*各種シミュレーション!$F$10)</f>
        <v>36081.116825599987</v>
      </c>
      <c r="L18" s="167"/>
      <c r="M18" s="167"/>
      <c r="N18" s="168"/>
      <c r="O18" s="169"/>
      <c r="P18" s="170"/>
      <c r="Q18" s="167"/>
      <c r="R18" s="167"/>
      <c r="S18" s="167"/>
      <c r="T18" s="167"/>
      <c r="U18" s="167"/>
      <c r="V18" s="167"/>
      <c r="W18" s="167"/>
      <c r="X18" s="167"/>
      <c r="Y18" s="167"/>
      <c r="Z18" s="167"/>
      <c r="AA18" s="168"/>
      <c r="AB18" s="169"/>
      <c r="AC18" s="170"/>
      <c r="AD18" s="167"/>
      <c r="AE18" s="167"/>
      <c r="AF18" s="167"/>
      <c r="AG18" s="167"/>
      <c r="AH18" s="167"/>
      <c r="AI18" s="167"/>
      <c r="AJ18" s="167"/>
      <c r="AK18" s="167"/>
      <c r="AL18" s="167"/>
      <c r="AM18" s="167"/>
      <c r="AN18" s="168"/>
      <c r="AO18" s="169"/>
      <c r="AP18" s="170"/>
      <c r="AQ18" s="167"/>
      <c r="AR18" s="167"/>
      <c r="AS18" s="167"/>
      <c r="AT18" s="167"/>
      <c r="AU18" s="167"/>
      <c r="AV18" s="167"/>
      <c r="AW18" s="167"/>
      <c r="AX18" s="167"/>
      <c r="AY18" s="167"/>
      <c r="AZ18" s="167"/>
      <c r="BA18" s="168"/>
      <c r="BB18" s="169"/>
      <c r="BC18" s="170"/>
      <c r="BD18" s="167"/>
      <c r="BE18" s="167"/>
      <c r="BF18" s="167"/>
      <c r="BG18" s="167"/>
      <c r="BH18" s="167"/>
      <c r="BI18" s="167"/>
      <c r="BJ18" s="167"/>
      <c r="BK18" s="167"/>
      <c r="BL18" s="167"/>
      <c r="BM18" s="167"/>
      <c r="BN18" s="168"/>
      <c r="BO18" s="169"/>
      <c r="BP18" s="170"/>
      <c r="BQ18" s="167"/>
      <c r="BR18" s="167"/>
      <c r="BS18" s="167"/>
      <c r="BT18" s="167"/>
      <c r="BU18" s="167"/>
      <c r="BV18" s="167"/>
      <c r="BW18" s="167"/>
      <c r="BX18" s="167"/>
      <c r="BY18" s="167"/>
      <c r="BZ18" s="167"/>
      <c r="CA18" s="168"/>
      <c r="CB18" s="169"/>
      <c r="CC18" s="170"/>
      <c r="CD18" s="167"/>
      <c r="CE18" s="167"/>
      <c r="CF18" s="167"/>
      <c r="CG18" s="167"/>
      <c r="CH18" s="167"/>
      <c r="CI18" s="167"/>
      <c r="CJ18" s="167"/>
      <c r="CK18" s="167"/>
      <c r="CL18" s="167"/>
      <c r="CM18" s="167"/>
      <c r="CN18" s="168"/>
      <c r="CO18" s="169"/>
      <c r="CP18" s="170"/>
      <c r="CQ18" s="167"/>
      <c r="CR18" s="167"/>
      <c r="CS18" s="167"/>
      <c r="CT18" s="167"/>
      <c r="CU18" s="167"/>
      <c r="CV18" s="167"/>
      <c r="CW18" s="167"/>
      <c r="CX18" s="167"/>
      <c r="CY18" s="167"/>
      <c r="CZ18" s="167"/>
      <c r="DA18" s="168"/>
      <c r="DB18" s="169"/>
      <c r="DC18" s="170"/>
      <c r="DD18" s="167"/>
      <c r="DE18" s="167"/>
      <c r="DF18" s="167"/>
      <c r="DG18" s="167"/>
      <c r="DH18" s="167"/>
      <c r="DI18" s="167"/>
      <c r="DJ18" s="167"/>
      <c r="DK18" s="167"/>
      <c r="DL18" s="167"/>
      <c r="DM18" s="167"/>
      <c r="DN18" s="168"/>
      <c r="DO18" s="169"/>
      <c r="DP18" s="170"/>
      <c r="DQ18" s="167"/>
      <c r="DR18" s="167"/>
      <c r="DS18" s="167"/>
      <c r="DT18" s="167"/>
      <c r="DU18" s="167"/>
      <c r="DV18" s="167"/>
      <c r="DW18" s="167"/>
      <c r="DX18" s="167"/>
      <c r="DY18" s="167"/>
      <c r="DZ18" s="167"/>
      <c r="EA18" s="168"/>
      <c r="EB18" s="171"/>
    </row>
    <row r="19" spans="1:132" s="7" customFormat="1" ht="24" customHeight="1">
      <c r="A19" s="165"/>
      <c r="B19" s="176" t="s">
        <v>213</v>
      </c>
      <c r="C19" s="2"/>
      <c r="D19" s="2"/>
      <c r="E19" s="2"/>
      <c r="F19" s="177"/>
      <c r="G19" s="177"/>
      <c r="H19" s="177"/>
      <c r="I19" s="177"/>
      <c r="J19" s="177"/>
      <c r="K19" s="177"/>
      <c r="L19" s="177"/>
      <c r="M19" s="177">
        <f>-(K6*各種シミュレーション!$F$3*各種シミュレーション!$F$9)-(K6*各種シミュレーション!$F$4*各種シミュレーション!$F$10)</f>
        <v>-271440.00000000006</v>
      </c>
      <c r="N19" s="178">
        <f>-(L6*各種シミュレーション!$F$3*各種シミュレーション!$F$9)-(L6*各種シミュレーション!$F$4*各種シミュレーション!$F$10)</f>
        <v>-209040</v>
      </c>
      <c r="O19" s="179">
        <f>SUM(C19:N19)</f>
        <v>-480480.00000000006</v>
      </c>
      <c r="P19" s="180"/>
      <c r="Q19" s="177"/>
      <c r="R19" s="177">
        <f>-(P6*各種シミュレーション!$F$3*各種シミュレーション!$F$9)-(P6*各種シミュレーション!$F$4*各種シミュレーション!$F$10)</f>
        <v>-393120.00000000006</v>
      </c>
      <c r="S19" s="177"/>
      <c r="T19" s="177">
        <f>-(R6*各種シミュレーション!$F$3*各種シミュレーション!$F$9)-(R6*各種シミュレーション!$F$4*各種シミュレーション!$F$10)</f>
        <v>-243360.00000000003</v>
      </c>
      <c r="U19" s="177">
        <f>-(S6*各種シミュレーション!$F$3*各種シミュレーション!$F$9)-(S6*各種シミュレーション!$F$4*各種シミュレーション!$F$10)</f>
        <v>-280800</v>
      </c>
      <c r="V19" s="177"/>
      <c r="W19" s="177"/>
      <c r="X19" s="177"/>
      <c r="Y19" s="177"/>
      <c r="Z19" s="177">
        <f>-(X6*各種シミュレーション!$F$3*各種シミュレーション!$F$9)-(X6*各種シミュレーション!$F$4*各種シミュレーション!$F$10)</f>
        <v>-202800</v>
      </c>
      <c r="AA19" s="178">
        <f>-(Y6*各種シミュレーション!$F$3*各種シミュレーション!$F$9)-(Y6*各種シミュレーション!$F$4*各種シミュレーション!$F$10)</f>
        <v>-156000</v>
      </c>
      <c r="AB19" s="179">
        <f>SUM(P19:AA19)</f>
        <v>-1276080</v>
      </c>
      <c r="AC19" s="180"/>
      <c r="AD19" s="177"/>
      <c r="AE19" s="177">
        <f>-(AC6*各種シミュレーション!$F$3*各種シミュレーション!$F$9)-(AC6*各種シミュレーション!$F$4*各種シミュレーション!$F$10)</f>
        <v>-221520.00000000003</v>
      </c>
      <c r="AF19" s="177"/>
      <c r="AG19" s="177"/>
      <c r="AH19" s="177"/>
      <c r="AI19" s="177"/>
      <c r="AJ19" s="177"/>
      <c r="AK19" s="177"/>
      <c r="AL19" s="177"/>
      <c r="AM19" s="177"/>
      <c r="AN19" s="178"/>
      <c r="AO19" s="179">
        <f>SUM(AC19:AN19)</f>
        <v>-221520.00000000003</v>
      </c>
      <c r="AP19" s="180"/>
      <c r="AQ19" s="177"/>
      <c r="AR19" s="177"/>
      <c r="AS19" s="177"/>
      <c r="AT19" s="177"/>
      <c r="AU19" s="177"/>
      <c r="AV19" s="177"/>
      <c r="AW19" s="177"/>
      <c r="AX19" s="177"/>
      <c r="AY19" s="177"/>
      <c r="AZ19" s="177"/>
      <c r="BA19" s="178"/>
      <c r="BB19" s="179">
        <f>SUM(AP19:BA19)</f>
        <v>0</v>
      </c>
      <c r="BC19" s="180"/>
      <c r="BD19" s="177"/>
      <c r="BE19" s="177"/>
      <c r="BF19" s="177"/>
      <c r="BG19" s="177"/>
      <c r="BH19" s="177"/>
      <c r="BI19" s="177"/>
      <c r="BJ19" s="177"/>
      <c r="BK19" s="177"/>
      <c r="BL19" s="177"/>
      <c r="BM19" s="177"/>
      <c r="BN19" s="178"/>
      <c r="BO19" s="179">
        <f>SUM(BC19:BN19)</f>
        <v>0</v>
      </c>
      <c r="BP19" s="180"/>
      <c r="BQ19" s="177"/>
      <c r="BR19" s="177"/>
      <c r="BS19" s="177"/>
      <c r="BT19" s="177"/>
      <c r="BU19" s="177"/>
      <c r="BV19" s="177"/>
      <c r="BW19" s="177"/>
      <c r="BX19" s="177"/>
      <c r="BY19" s="177"/>
      <c r="BZ19" s="177"/>
      <c r="CA19" s="178"/>
      <c r="CB19" s="179">
        <f>SUM(BP19:CA19)</f>
        <v>0</v>
      </c>
      <c r="CC19" s="180"/>
      <c r="CD19" s="177"/>
      <c r="CE19" s="177"/>
      <c r="CF19" s="177"/>
      <c r="CG19" s="177"/>
      <c r="CH19" s="177"/>
      <c r="CI19" s="177"/>
      <c r="CJ19" s="177"/>
      <c r="CK19" s="177"/>
      <c r="CL19" s="177"/>
      <c r="CM19" s="177"/>
      <c r="CN19" s="178"/>
      <c r="CO19" s="179">
        <f>SUM(CC19:CN19)</f>
        <v>0</v>
      </c>
      <c r="CP19" s="180"/>
      <c r="CQ19" s="177"/>
      <c r="CR19" s="177"/>
      <c r="CS19" s="177"/>
      <c r="CT19" s="177"/>
      <c r="CU19" s="177"/>
      <c r="CV19" s="177"/>
      <c r="CW19" s="177"/>
      <c r="CX19" s="177"/>
      <c r="CY19" s="177"/>
      <c r="CZ19" s="177"/>
      <c r="DA19" s="178"/>
      <c r="DB19" s="179">
        <f>SUM(CP19:DA19)</f>
        <v>0</v>
      </c>
      <c r="DC19" s="180"/>
      <c r="DD19" s="177"/>
      <c r="DE19" s="177"/>
      <c r="DF19" s="177"/>
      <c r="DG19" s="177"/>
      <c r="DH19" s="177"/>
      <c r="DI19" s="177"/>
      <c r="DJ19" s="177"/>
      <c r="DK19" s="177"/>
      <c r="DL19" s="177"/>
      <c r="DM19" s="177"/>
      <c r="DN19" s="178"/>
      <c r="DO19" s="179">
        <f>SUM(DC19:DN19)</f>
        <v>0</v>
      </c>
      <c r="DP19" s="180"/>
      <c r="DQ19" s="177"/>
      <c r="DR19" s="177"/>
      <c r="DS19" s="177"/>
      <c r="DT19" s="177"/>
      <c r="DU19" s="177"/>
      <c r="DV19" s="177"/>
      <c r="DW19" s="177"/>
      <c r="DX19" s="177"/>
      <c r="DY19" s="177"/>
      <c r="DZ19" s="177"/>
      <c r="EA19" s="178"/>
      <c r="EB19" s="181">
        <f>SUM(DP19:EA19)</f>
        <v>0</v>
      </c>
    </row>
    <row r="20" spans="1:132" s="7" customFormat="1" ht="24" customHeight="1">
      <c r="A20" s="165"/>
      <c r="B20" s="176" t="s">
        <v>212</v>
      </c>
      <c r="C20" s="2"/>
      <c r="D20" s="2"/>
      <c r="E20" s="2"/>
      <c r="F20" s="177"/>
      <c r="G20" s="177"/>
      <c r="H20" s="177">
        <f>-(F6*各種シミュレーション!$J$10*各種シミュレーション!$F$3)</f>
        <v>-91520</v>
      </c>
      <c r="I20" s="177">
        <f>-(G6*各種シミュレーション!$J$10*各種シミュレーション!$F$3)</f>
        <v>-112640</v>
      </c>
      <c r="J20" s="177">
        <f>-(H6*各種シミュレーション!$J$10*各種シミュレーション!$F$3)</f>
        <v>-114048</v>
      </c>
      <c r="K20" s="177">
        <f>-(I6*各種シミュレーション!$J$10*各種シミュレーション!$F$3)</f>
        <v>-57728.000000000007</v>
      </c>
      <c r="L20" s="177">
        <f>-(J6*各種シミュレーション!$J$10*各種シミュレーション!$F$3)</f>
        <v>-153472</v>
      </c>
      <c r="M20" s="177">
        <f>-(K6*各種シミュレーション!$J$10*各種シミュレーション!$F$3)</f>
        <v>-122496.00000000001</v>
      </c>
      <c r="N20" s="177">
        <f>-(L6*各種シミュレーション!$J$10*各種シミュレーション!$F$3)</f>
        <v>-94336</v>
      </c>
      <c r="O20" s="179">
        <f>SUM(C20:N20)</f>
        <v>-746240</v>
      </c>
      <c r="P20" s="177">
        <f>-(M6*各種シミュレーション!$J$10*各種シミュレーション!$F$3)</f>
        <v>-68992</v>
      </c>
      <c r="Q20" s="177">
        <f>-(N6*各種シミュレーション!$J$10*各種シミュレーション!$F$3)</f>
        <v>-42240</v>
      </c>
      <c r="R20" s="177">
        <f>-(P6*各種シミュレーション!$J$10*各種シミュレーション!$F$3)</f>
        <v>-177408.00000000003</v>
      </c>
      <c r="S20" s="177">
        <f>-(Q6*各種シミュレーション!$J$10*各種シミュレーション!$F$3)</f>
        <v>-78848.000000000015</v>
      </c>
      <c r="T20" s="177">
        <f>-(R6*各種シミュレーション!$J$10*各種シミュレーション!$F$3)</f>
        <v>-109824.00000000001</v>
      </c>
      <c r="U20" s="177">
        <f>-(S6*各種シミュレーション!$J$10*各種シミュレーション!$F$3)</f>
        <v>-126720</v>
      </c>
      <c r="V20" s="177">
        <f>-(T6*各種シミュレーション!$J$10*各種シミュレーション!$F$3)</f>
        <v>-78848.000000000015</v>
      </c>
      <c r="W20" s="177">
        <f>-(U6*各種シミュレーション!$J$10*各種シミュレーション!$F$3)</f>
        <v>-74624.000000000015</v>
      </c>
      <c r="X20" s="177">
        <f>-(V6*各種シミュレーション!$J$10*各種シミュレーション!$F$3)</f>
        <v>-85888</v>
      </c>
      <c r="Y20" s="177">
        <f>-(W6*各種シミュレーション!$J$10*各種シミュレーション!$F$3)</f>
        <v>-181632</v>
      </c>
      <c r="Z20" s="177">
        <f>-(X6*各種シミュレーション!$J$10*各種シミュレーション!$F$3)</f>
        <v>-91520</v>
      </c>
      <c r="AA20" s="177">
        <f>-(Y6*各種シミュレーション!$J$10*各種シミュレーション!$F$3)</f>
        <v>-70400</v>
      </c>
      <c r="AB20" s="179">
        <f>SUM(P20:AA20)</f>
        <v>-1186944</v>
      </c>
      <c r="AC20" s="177">
        <f>-(Z6*各種シミュレーション!$J$10*各種シミュレーション!$F$3)</f>
        <v>-97152</v>
      </c>
      <c r="AD20" s="177">
        <f>-(AA6*各種シミュレーション!$J$10*各種シミュレーション!$F$3)</f>
        <v>-70400</v>
      </c>
      <c r="AE20" s="177">
        <f>-(AC6*各種シミュレーション!$J$10*各種シミュレーション!$F$3)</f>
        <v>-99968</v>
      </c>
      <c r="AF20" s="177">
        <f>-(AD6*各種シミュレーション!$J$10*各種シミュレーション!$F$3)</f>
        <v>-98560</v>
      </c>
      <c r="AG20" s="177">
        <f>-(AE6*各種シミュレーション!$J$10)*(各種シミュレーション!$F$3*各種シミュレーション!$F$9+各種シミュレーション!$F$4*各種シミュレーション!$F$10)</f>
        <v>-108451.2</v>
      </c>
      <c r="AH20" s="177">
        <f>-(AF6*各種シミュレーション!$J$10)*(各種シミュレーション!$F$3*各種シミュレーション!$F$9+各種シミュレーション!$F$4*各種シミュレーション!$F$10)</f>
        <v>-76876.800000000017</v>
      </c>
      <c r="AI20" s="177">
        <f>-(AG6*各種シミュレーション!$J$10)*(各種シミュレーション!$F$3*各種シミュレーション!$F$9+各種シミュレーション!$F$4*各種シミュレーション!$F$10)</f>
        <v>-113942.40000000001</v>
      </c>
      <c r="AJ20" s="177">
        <f>-(AH6*各種シミュレーション!$J$10)*(各種シミュレーション!$F$3*各種シミュレーション!$F$9+各種シミュレーション!$F$4*各種シミュレーション!$F$10)</f>
        <v>-102960</v>
      </c>
      <c r="AK20" s="177">
        <f>-(AI6*各種シミュレーション!$J$10)*(各種シミュレーション!$F$3*各種シミュレーション!$F$9+各種シミュレーション!$F$4*各種シミュレーション!$F$10)</f>
        <v>-82368</v>
      </c>
      <c r="AL20" s="177">
        <f>-(AJ6*各種シミュレーション!$J$10)*(各種シミュレーション!$F$3*各種シミュレーション!$F$9+各種シミュレーション!$F$4*各種シミュレーション!$F$10)</f>
        <v>-70012.800000000003</v>
      </c>
      <c r="AM20" s="177">
        <f>-(AK6*各種シミュレーション!$J$10)*(各種シミュレーション!$F$3*各種シミュレーション!$F$9+各種シミュレーション!$F$4*各種シミュレーション!$F$10)</f>
        <v>-90604.800000000017</v>
      </c>
      <c r="AN20" s="177">
        <f>-(AL6*各種シミュレーション!$J$10)*(各種シミュレーション!$F$3*各種シミュレーション!$F$9+各種シミュレーション!$F$4*各種シミュレーション!$F$10)</f>
        <v>-65894.400000000023</v>
      </c>
      <c r="AO20" s="179">
        <f>SUM(AC20:AN20)</f>
        <v>-1077190.4000000001</v>
      </c>
      <c r="AP20" s="177">
        <f>-(AM6*各種シミュレーション!$J$10*各種シミュレーション!$F$3)</f>
        <v>-60544</v>
      </c>
      <c r="AQ20" s="177">
        <f>-(AN6*各種シミュレーション!$J$10)*(各種シミュレーション!$F$3*各種シミュレーション!$F$9+各種シミュレーション!$F$4*各種シミュレーション!$F$10)</f>
        <v>-50793.600000000006</v>
      </c>
      <c r="AR20" s="177">
        <f>-(AP6*各種シミュレーション!$J$10)*(各種シミュレーション!$F$3*各種シミュレーション!$F$9+各種シミュレーション!$F$4*各種シミュレーション!$F$10)</f>
        <v>-107078.40000000001</v>
      </c>
      <c r="AS20" s="177">
        <f>-(AQ6*各種シミュレーション!$J$10)*(各種シミュレーション!$F$3*各種シミュレーション!$F$9+各種シミュレーション!$F$4*各種シミュレーション!$F$10)</f>
        <v>-59030.399999999994</v>
      </c>
      <c r="AT20" s="177">
        <f>-(AR6*各種シミュレーション!$J$10)*(各種シミュレーション!$F$3*各種シミュレーション!$F$9+各種シミュレーション!$F$4*各種シミュレーション!$F$10)</f>
        <v>-74131.200000000012</v>
      </c>
      <c r="AU20" s="177">
        <f>-(AS6*各種シミュレーション!$J$10)*(各種シミュレーション!$F$3*各種シミュレーション!$F$9+各種シミュレーション!$F$4*各種シミュレーション!$F$10)</f>
        <v>-89232</v>
      </c>
      <c r="AV20" s="177">
        <f>-(AT6*各種シミュレーション!$J$10)*(各種シミュレーション!$F$3*各種シミュレーション!$F$9+各種シミュレーション!$F$4*各種シミュレーション!$F$10)</f>
        <v>-87859.200000000012</v>
      </c>
      <c r="AW20" s="177">
        <f>-(AU6*各種シミュレーション!$J$10)*(各種シミュレーション!$F$3*各種シミュレーション!$F$9+各種シミュレーション!$F$4*各種シミュレーション!$F$10)</f>
        <v>-85113.600000000006</v>
      </c>
      <c r="AX20" s="177">
        <f>-(AV6*各種シミュレーション!$J$10)*(各種シミュレーション!$F$3*各種シミュレーション!$F$9+各種シミュレーション!$F$4*各種シミュレーション!$F$10)</f>
        <v>-98841.600000000006</v>
      </c>
      <c r="AY20" s="177">
        <f>-(AW6*各種シミュレーション!$J$10)*(各種シミュレーション!$F$3*各種シミュレーション!$F$9+各種シミュレーション!$F$4*各種シミュレーション!$F$10)</f>
        <v>-98841.600000000006</v>
      </c>
      <c r="AZ20" s="177">
        <f>-(AX6*各種シミュレーション!$J$10)*(各種シミュレーション!$F$3*各種シミュレーション!$F$9+各種シミュレーション!$F$4*各種シミュレーション!$F$10)</f>
        <v>-76876.800000000017</v>
      </c>
      <c r="BA20" s="177">
        <f>-(AY6*各種シミュレーション!$J$10)*(各種シミュレーション!$F$3*各種シミュレーション!$F$9+各種シミュレーション!$F$4*各種シミュレーション!$F$10)</f>
        <v>-72758.400000000009</v>
      </c>
      <c r="BB20" s="179">
        <f>SUM(AP20:BA20)</f>
        <v>-961100.80000000005</v>
      </c>
      <c r="BC20" s="177">
        <f>-(AZ6*各種シミュレーション!$J$10*各種シミュレーション!$F$3)</f>
        <v>-60544</v>
      </c>
      <c r="BD20" s="177">
        <f>-(BA6*各種シミュレーション!$J$10)*(各種シミュレーション!$F$3*各種シミュレーション!$F$9+各種シミュレーション!$F$4*各種シミュレーション!$F$10)</f>
        <v>-124924.79999999999</v>
      </c>
      <c r="BE20" s="177">
        <f>-(BC6*各種シミュレーション!$J$10)*(各種シミュレーション!$F$3*各種シミュレーション!$F$9+各種シミュレーション!$F$4*各種シミュレーション!$F$10)</f>
        <v>-107078.40000000001</v>
      </c>
      <c r="BF20" s="177">
        <f>-(BD6*各種シミュレーション!$J$10)*(各種シミュレーション!$F$3*各種シミュレーション!$F$9+各種シミュレーション!$F$4*各種シミュレーション!$F$10)</f>
        <v>-59030.399999999994</v>
      </c>
      <c r="BG20" s="177">
        <f>-(BE6*各種シミュレーション!$J$10)*(各種シミュレーション!$F$3*各種シミュレーション!$F$9+各種シミュレーション!$F$4*各種シミュレーション!$F$10)</f>
        <v>-74131.200000000012</v>
      </c>
      <c r="BH20" s="177">
        <f>-(BF6*各種シミュレーション!$J$10)*(各種シミュレーション!$F$3*各種シミュレーション!$F$9+各種シミュレーション!$F$4*各種シミュレーション!$F$10)</f>
        <v>-89232</v>
      </c>
      <c r="BI20" s="177">
        <f>-(BG6*各種シミュレーション!$J$10)*(各種シミュレーション!$F$3*各種シミュレーション!$F$9+各種シミュレーション!$F$4*各種シミュレーション!$F$10)</f>
        <v>-87859.200000000012</v>
      </c>
      <c r="BJ20" s="177">
        <f>-(BH6*各種シミュレーション!$J$10)*(各種シミュレーション!$F$3*各種シミュレーション!$F$9+各種シミュレーション!$F$4*各種シミュレーション!$F$10)</f>
        <v>-85113.600000000006</v>
      </c>
      <c r="BK20" s="177">
        <f>-(BI6*各種シミュレーション!$J$10)*(各種シミュレーション!$F$3*各種シミュレーション!$F$9+各種シミュレーション!$F$4*各種シミュレーション!$F$10)</f>
        <v>-98841.600000000006</v>
      </c>
      <c r="BL20" s="177">
        <f>-(BJ6*各種シミュレーション!$J$10)*(各種シミュレーション!$F$3*各種シミュレーション!$F$9+各種シミュレーション!$F$4*各種シミュレーション!$F$10)</f>
        <v>-98841.600000000006</v>
      </c>
      <c r="BM20" s="177">
        <f>-(BK6*各種シミュレーション!$J$10)*(各種シミュレーション!$F$3*各種シミュレーション!$F$9+各種シミュレーション!$F$4*各種シミュレーション!$F$10)</f>
        <v>-76876.800000000017</v>
      </c>
      <c r="BN20" s="177">
        <f>-(BL6*各種シミュレーション!$J$10)*(各種シミュレーション!$F$3*各種シミュレーション!$F$9+各種シミュレーション!$F$4*各種シミュレーション!$F$10)</f>
        <v>-72758.400000000009</v>
      </c>
      <c r="BO20" s="179">
        <f>SUM(BC20:BN20)</f>
        <v>-1035232</v>
      </c>
      <c r="BP20" s="177">
        <f>-(BM6*各種シミュレーション!$J$10*各種シミュレーション!$F$3)</f>
        <v>-60544</v>
      </c>
      <c r="BQ20" s="177">
        <f>-(BN6*各種シミュレーション!$J$10)*(各種シミュレーション!$F$3*各種シミュレーション!$F$9+各種シミュレーション!$F$4*各種シミュレーション!$F$10)</f>
        <v>-124924.79999999999</v>
      </c>
      <c r="BR20" s="177">
        <f>-(BP6*各種シミュレーション!$J$10)*(各種シミュレーション!$F$3*各種シミュレーション!$F$9+各種シミュレーション!$F$4*各種シミュレーション!$F$10)</f>
        <v>-107078.40000000001</v>
      </c>
      <c r="BS20" s="177">
        <f>-(BQ6*各種シミュレーション!$J$10)*(各種シミュレーション!$F$3*各種シミュレーション!$F$9+各種シミュレーション!$F$4*各種シミュレーション!$F$10)</f>
        <v>-59030.399999999994</v>
      </c>
      <c r="BT20" s="177">
        <f>-(BR6*各種シミュレーション!$J$10)*(各種シミュレーション!$F$3*各種シミュレーション!$F$9+各種シミュレーション!$F$4*各種シミュレーション!$F$10)</f>
        <v>-74131.200000000012</v>
      </c>
      <c r="BU20" s="177">
        <f>-(BS6*各種シミュレーション!$J$10)*(各種シミュレーション!$F$3*各種シミュレーション!$F$9+各種シミュレーション!$F$4*各種シミュレーション!$F$10)</f>
        <v>-89232</v>
      </c>
      <c r="BV20" s="177">
        <f>-(BT6*各種シミュレーション!$J$10)*(各種シミュレーション!$F$3*各種シミュレーション!$F$9+各種シミュレーション!$F$4*各種シミュレーション!$F$10)</f>
        <v>-87859.200000000012</v>
      </c>
      <c r="BW20" s="177">
        <f>-(BU6*各種シミュレーション!$J$10)*(各種シミュレーション!$F$3*各種シミュレーション!$F$9+各種シミュレーション!$F$4*各種シミュレーション!$F$10)</f>
        <v>-85113.600000000006</v>
      </c>
      <c r="BX20" s="177">
        <f>-(BV6*各種シミュレーション!$J$10)*(各種シミュレーション!$F$3*各種シミュレーション!$F$9+各種シミュレーション!$F$4*各種シミュレーション!$F$10)</f>
        <v>-98841.600000000006</v>
      </c>
      <c r="BY20" s="177">
        <f>-(BW6*各種シミュレーション!$J$10)*(各種シミュレーション!$F$3*各種シミュレーション!$F$9+各種シミュレーション!$F$4*各種シミュレーション!$F$10)</f>
        <v>-98841.600000000006</v>
      </c>
      <c r="BZ20" s="177">
        <f>-(BX6*各種シミュレーション!$J$10)*(各種シミュレーション!$F$3*各種シミュレーション!$F$9+各種シミュレーション!$F$4*各種シミュレーション!$F$10)</f>
        <v>-76876.800000000017</v>
      </c>
      <c r="CA20" s="177">
        <f>-(BY6*各種シミュレーション!$J$10)*(各種シミュレーション!$F$3*各種シミュレーション!$F$9+各種シミュレーション!$F$4*各種シミュレーション!$F$10)</f>
        <v>-72758.400000000009</v>
      </c>
      <c r="CB20" s="179">
        <f>SUM(BP20:CA20)</f>
        <v>-1035232</v>
      </c>
      <c r="CC20" s="177">
        <f>-(BZ6*各種シミュレーション!$J$10*各種シミュレーション!$F$3)</f>
        <v>-60544</v>
      </c>
      <c r="CD20" s="177">
        <f>-(CA6*各種シミュレーション!$J$10)*(各種シミュレーション!$F$3*各種シミュレーション!$F$9+各種シミュレーション!$F$4*各種シミュレーション!$F$10)</f>
        <v>-124924.79999999999</v>
      </c>
      <c r="CE20" s="177">
        <f>-(CC6*各種シミュレーション!$J$10)*(各種シミュレーション!$F$3*各種シミュレーション!$F$9+各種シミュレーション!$F$4*各種シミュレーション!$F$10)</f>
        <v>-107078.40000000001</v>
      </c>
      <c r="CF20" s="177">
        <f>-(CD6*各種シミュレーション!$J$10)*(各種シミュレーション!$F$3*各種シミュレーション!$F$9+各種シミュレーション!$F$4*各種シミュレーション!$F$10)</f>
        <v>-59030.399999999994</v>
      </c>
      <c r="CG20" s="177">
        <f>-(CE6*各種シミュレーション!$J$10)*(各種シミュレーション!$F$3*各種シミュレーション!$F$9+各種シミュレーション!$F$4*各種シミュレーション!$F$10)</f>
        <v>-74131.200000000012</v>
      </c>
      <c r="CH20" s="177">
        <f>-(CF6*各種シミュレーション!$J$10)*(各種シミュレーション!$F$3*各種シミュレーション!$F$9+各種シミュレーション!$F$4*各種シミュレーション!$F$10)</f>
        <v>-89232</v>
      </c>
      <c r="CI20" s="177">
        <f>-(CG6*各種シミュレーション!$J$10)*(各種シミュレーション!$F$3*各種シミュレーション!$F$9+各種シミュレーション!$F$4*各種シミュレーション!$F$10)</f>
        <v>-87859.200000000012</v>
      </c>
      <c r="CJ20" s="177">
        <f>-(CH6*各種シミュレーション!$J$10)*(各種シミュレーション!$F$3*各種シミュレーション!$F$9+各種シミュレーション!$F$4*各種シミュレーション!$F$10)</f>
        <v>-85113.600000000006</v>
      </c>
      <c r="CK20" s="177">
        <f>-(CI6*各種シミュレーション!$J$10)*(各種シミュレーション!$F$3*各種シミュレーション!$F$9+各種シミュレーション!$F$4*各種シミュレーション!$F$10)</f>
        <v>-98841.600000000006</v>
      </c>
      <c r="CL20" s="177">
        <f>-(CJ6*各種シミュレーション!$J$10)*(各種シミュレーション!$F$3*各種シミュレーション!$F$9+各種シミュレーション!$F$4*各種シミュレーション!$F$10)</f>
        <v>-98841.600000000006</v>
      </c>
      <c r="CM20" s="177">
        <f>-(CK6*各種シミュレーション!$J$10)*(各種シミュレーション!$F$3*各種シミュレーション!$F$9+各種シミュレーション!$F$4*各種シミュレーション!$F$10)</f>
        <v>-76876.800000000017</v>
      </c>
      <c r="CN20" s="177">
        <f>-(CL6*各種シミュレーション!$J$10)*(各種シミュレーション!$F$3*各種シミュレーション!$F$9+各種シミュレーション!$F$4*各種シミュレーション!$F$10)</f>
        <v>-72758.400000000009</v>
      </c>
      <c r="CO20" s="179">
        <f>SUM(CC20:CN20)</f>
        <v>-1035232</v>
      </c>
      <c r="CP20" s="177">
        <f>-(CM6*各種シミュレーション!$J$10*各種シミュレーション!$F$3)</f>
        <v>-60544</v>
      </c>
      <c r="CQ20" s="177">
        <f>-(CN6*各種シミュレーション!$J$10)*(各種シミュレーション!$F$3*各種シミュレーション!$F$9+各種シミュレーション!$F$4*各種シミュレーション!$F$10)</f>
        <v>-124924.79999999999</v>
      </c>
      <c r="CR20" s="177">
        <f>-(CP6*各種シミュレーション!$J$10)*(各種シミュレーション!$F$3*各種シミュレーション!$F$9+各種シミュレーション!$F$4*各種シミュレーション!$F$10)</f>
        <v>-107078.40000000001</v>
      </c>
      <c r="CS20" s="177">
        <f>-(CQ6*各種シミュレーション!$J$10)*(各種シミュレーション!$F$3*各種シミュレーション!$F$9+各種シミュレーション!$F$4*各種シミュレーション!$F$10)</f>
        <v>-59030.399999999994</v>
      </c>
      <c r="CT20" s="177">
        <f>-(CR6*各種シミュレーション!$J$10)*(各種シミュレーション!$F$3*各種シミュレーション!$F$9+各種シミュレーション!$F$4*各種シミュレーション!$F$10)</f>
        <v>-74131.200000000012</v>
      </c>
      <c r="CU20" s="177">
        <f>-(CS6*各種シミュレーション!$J$10)*(各種シミュレーション!$F$3*各種シミュレーション!$F$9+各種シミュレーション!$F$4*各種シミュレーション!$F$10)</f>
        <v>-89232</v>
      </c>
      <c r="CV20" s="177">
        <f>-(CT6*各種シミュレーション!$J$10)*(各種シミュレーション!$F$3*各種シミュレーション!$F$9+各種シミュレーション!$F$4*各種シミュレーション!$F$10)</f>
        <v>-87859.200000000012</v>
      </c>
      <c r="CW20" s="177">
        <f>-(CU6*各種シミュレーション!$J$10)*(各種シミュレーション!$F$3*各種シミュレーション!$F$9+各種シミュレーション!$F$4*各種シミュレーション!$F$10)</f>
        <v>-85113.600000000006</v>
      </c>
      <c r="CX20" s="177">
        <f>-(CV6*各種シミュレーション!$J$10)*(各種シミュレーション!$F$3*各種シミュレーション!$F$9+各種シミュレーション!$F$4*各種シミュレーション!$F$10)</f>
        <v>-98841.600000000006</v>
      </c>
      <c r="CY20" s="177">
        <f>-(CW6*各種シミュレーション!$J$10)*(各種シミュレーション!$F$3*各種シミュレーション!$F$9+各種シミュレーション!$F$4*各種シミュレーション!$F$10)</f>
        <v>-98841.600000000006</v>
      </c>
      <c r="CZ20" s="177">
        <f>-(CX6*各種シミュレーション!$J$10)*(各種シミュレーション!$F$3*各種シミュレーション!$F$9+各種シミュレーション!$F$4*各種シミュレーション!$F$10)</f>
        <v>-76876.800000000017</v>
      </c>
      <c r="DA20" s="177">
        <f>-(CY6*各種シミュレーション!$J$10)*(各種シミュレーション!$F$3*各種シミュレーション!$F$9+各種シミュレーション!$F$4*各種シミュレーション!$F$10)</f>
        <v>-72758.400000000009</v>
      </c>
      <c r="DB20" s="179">
        <f>SUM(CP20:DA20)</f>
        <v>-1035232</v>
      </c>
      <c r="DC20" s="177">
        <f>-(CZ6*各種シミュレーション!$J$10*各種シミュレーション!$F$3)</f>
        <v>-60544</v>
      </c>
      <c r="DD20" s="177">
        <f>-(DA6*各種シミュレーション!$J$10)*(各種シミュレーション!$F$3*各種シミュレーション!$F$9+各種シミュレーション!$F$4*各種シミュレーション!$F$10)</f>
        <v>-124924.79999999999</v>
      </c>
      <c r="DE20" s="177">
        <f>-(DC6*各種シミュレーション!$J$10)*(各種シミュレーション!$F$3*各種シミュレーション!$F$9+各種シミュレーション!$F$4*各種シミュレーション!$F$10)</f>
        <v>-107078.40000000001</v>
      </c>
      <c r="DF20" s="177">
        <f>-(DD6*各種シミュレーション!$J$10)*(各種シミュレーション!$F$3*各種シミュレーション!$F$9+各種シミュレーション!$F$4*各種シミュレーション!$F$10)</f>
        <v>-59030.399999999994</v>
      </c>
      <c r="DG20" s="177">
        <f>-(DE6*各種シミュレーション!$J$10)*(各種シミュレーション!$F$3*各種シミュレーション!$F$9+各種シミュレーション!$F$4*各種シミュレーション!$F$10)</f>
        <v>-74131.200000000012</v>
      </c>
      <c r="DH20" s="177">
        <f>-(DF6*各種シミュレーション!$J$10)*(各種シミュレーション!$F$3*各種シミュレーション!$F$9+各種シミュレーション!$F$4*各種シミュレーション!$F$10)</f>
        <v>-89232</v>
      </c>
      <c r="DI20" s="177">
        <f>-(DG6*各種シミュレーション!$J$10)*(各種シミュレーション!$F$3*各種シミュレーション!$F$9+各種シミュレーション!$F$4*各種シミュレーション!$F$10)</f>
        <v>-87859.200000000012</v>
      </c>
      <c r="DJ20" s="177">
        <f>-(DH6*各種シミュレーション!$J$10)*(各種シミュレーション!$F$3*各種シミュレーション!$F$9+各種シミュレーション!$F$4*各種シミュレーション!$F$10)</f>
        <v>-85113.600000000006</v>
      </c>
      <c r="DK20" s="177">
        <f>-(DI6*各種シミュレーション!$J$10)*(各種シミュレーション!$F$3*各種シミュレーション!$F$9+各種シミュレーション!$F$4*各種シミュレーション!$F$10)</f>
        <v>-98841.600000000006</v>
      </c>
      <c r="DL20" s="177">
        <f>-(DJ6*各種シミュレーション!$J$10)*(各種シミュレーション!$F$3*各種シミュレーション!$F$9+各種シミュレーション!$F$4*各種シミュレーション!$F$10)</f>
        <v>-98841.600000000006</v>
      </c>
      <c r="DM20" s="177">
        <f>-(DK6*各種シミュレーション!$J$10)*(各種シミュレーション!$F$3*各種シミュレーション!$F$9+各種シミュレーション!$F$4*各種シミュレーション!$F$10)</f>
        <v>-76876.800000000017</v>
      </c>
      <c r="DN20" s="177">
        <f>-(DL6*各種シミュレーション!$J$10)*(各種シミュレーション!$F$3*各種シミュレーション!$F$9+各種シミュレーション!$F$4*各種シミュレーション!$F$10)</f>
        <v>-72758.400000000009</v>
      </c>
      <c r="DO20" s="179">
        <f>SUM(DC20:DN20)</f>
        <v>-1035232</v>
      </c>
      <c r="DP20" s="177">
        <f>-(DM6*各種シミュレーション!$J$10*各種シミュレーション!$F$3)</f>
        <v>-60544</v>
      </c>
      <c r="DQ20" s="177">
        <f>-(DN6*各種シミュレーション!$J$10)*(各種シミュレーション!$F$3*各種シミュレーション!$F$9+各種シミュレーション!$F$4*各種シミュレーション!$F$10)</f>
        <v>-124924.79999999999</v>
      </c>
      <c r="DR20" s="177">
        <f>-(DP6*各種シミュレーション!$J$10)*(各種シミュレーション!$F$3*各種シミュレーション!$F$9+各種シミュレーション!$F$4*各種シミュレーション!$F$10)</f>
        <v>-107078.40000000001</v>
      </c>
      <c r="DS20" s="177">
        <f>-(DQ6*各種シミュレーション!$J$10)*(各種シミュレーション!$F$3*各種シミュレーション!$F$9+各種シミュレーション!$F$4*各種シミュレーション!$F$10)</f>
        <v>-59030.399999999994</v>
      </c>
      <c r="DT20" s="177">
        <f>-(DR6*各種シミュレーション!$J$10)*(各種シミュレーション!$F$3*各種シミュレーション!$F$9+各種シミュレーション!$F$4*各種シミュレーション!$F$10)</f>
        <v>-74131.200000000012</v>
      </c>
      <c r="DU20" s="177">
        <f>-(DS6*各種シミュレーション!$J$10)*(各種シミュレーション!$F$3*各種シミュレーション!$F$9+各種シミュレーション!$F$4*各種シミュレーション!$F$10)</f>
        <v>-89232</v>
      </c>
      <c r="DV20" s="177">
        <f>-(DT6*各種シミュレーション!$J$10)*(各種シミュレーション!$F$3*各種シミュレーション!$F$9+各種シミュレーション!$F$4*各種シミュレーション!$F$10)</f>
        <v>-87859.200000000012</v>
      </c>
      <c r="DW20" s="177">
        <f>-(DU6*各種シミュレーション!$J$10)*(各種シミュレーション!$F$3*各種シミュレーション!$F$9+各種シミュレーション!$F$4*各種シミュレーション!$F$10)</f>
        <v>-85113.600000000006</v>
      </c>
      <c r="DX20" s="177">
        <f>-(DV6*各種シミュレーション!$J$10)*(各種シミュレーション!$F$3*各種シミュレーション!$F$9+各種シミュレーション!$F$4*各種シミュレーション!$F$10)</f>
        <v>-98841.600000000006</v>
      </c>
      <c r="DY20" s="177">
        <f>-(DW6*各種シミュレーション!$J$10)*(各種シミュレーション!$F$3*各種シミュレーション!$F$9+各種シミュレーション!$F$4*各種シミュレーション!$F$10)</f>
        <v>-98841.600000000006</v>
      </c>
      <c r="DZ20" s="177">
        <f>-(DX6*各種シミュレーション!$J$10)*(各種シミュレーション!$F$3*各種シミュレーション!$F$9+各種シミュレーション!$F$4*各種シミュレーション!$F$10)</f>
        <v>-76876.800000000017</v>
      </c>
      <c r="EA20" s="177">
        <f>-(DY6*各種シミュレーション!$J$10)*(各種シミュレーション!$F$3*各種シミュレーション!$F$9+各種シミュレーション!$F$4*各種シミュレーション!$F$10)</f>
        <v>-72758.400000000009</v>
      </c>
      <c r="EB20" s="181">
        <f>SUM(DP20:EA20)</f>
        <v>-1035232</v>
      </c>
    </row>
    <row r="21" spans="1:132" s="7" customFormat="1" ht="24" customHeight="1">
      <c r="A21" s="165"/>
      <c r="B21" s="172" t="s">
        <v>49</v>
      </c>
      <c r="C21" s="167"/>
      <c r="D21" s="167"/>
      <c r="E21" s="167"/>
      <c r="F21" s="167"/>
      <c r="G21" s="167">
        <f>SUM(G22:G23)</f>
        <v>409919.99999999994</v>
      </c>
      <c r="H21" s="167">
        <f>SUM(H22:H23)</f>
        <v>441119.99999999994</v>
      </c>
      <c r="I21" s="167">
        <f t="shared" ref="I21:N21" si="224">SUM(I22:I23)</f>
        <v>543520</v>
      </c>
      <c r="J21" s="167">
        <f t="shared" si="224"/>
        <v>678400</v>
      </c>
      <c r="K21" s="167">
        <f t="shared" si="224"/>
        <v>788377.59999999986</v>
      </c>
      <c r="L21" s="167">
        <f t="shared" si="224"/>
        <v>834841.4463999999</v>
      </c>
      <c r="M21" s="167">
        <f t="shared" si="224"/>
        <v>934234.19048959995</v>
      </c>
      <c r="N21" s="167">
        <f t="shared" si="224"/>
        <v>937525.18353658868</v>
      </c>
      <c r="O21" s="169">
        <f>SUM(C21:N21)</f>
        <v>5567938.420426188</v>
      </c>
      <c r="P21" s="167">
        <f>SUM(P22:P23)</f>
        <v>932021.49991036905</v>
      </c>
      <c r="Q21" s="167">
        <f t="shared" ref="Q21" si="225">SUM(Q22:Q23)</f>
        <v>917656.48941458168</v>
      </c>
      <c r="R21" s="167">
        <f t="shared" ref="R21" si="226">SUM(R22:R23)</f>
        <v>950046.63441209646</v>
      </c>
      <c r="S21" s="167">
        <f t="shared" ref="S21" si="227">SUM(S22:S23)</f>
        <v>947314.44259472797</v>
      </c>
      <c r="T21" s="167">
        <f t="shared" ref="T21" si="228">SUM(T22:T23)</f>
        <v>955270.66379277583</v>
      </c>
      <c r="U21" s="167">
        <f t="shared" ref="U21" si="229">SUM(U22:U23)</f>
        <v>974965.64923244307</v>
      </c>
      <c r="V21" s="167">
        <f t="shared" ref="V21" si="230">SUM(V22:V23)</f>
        <v>977611.92021084274</v>
      </c>
      <c r="W21" s="167">
        <f t="shared" ref="W21" si="231">SUM(W22:W23)</f>
        <v>978720.2791630415</v>
      </c>
      <c r="X21" s="167">
        <f t="shared" ref="X21" si="232">SUM(X22:X23)</f>
        <v>983627.62883400882</v>
      </c>
      <c r="Y21" s="167">
        <f t="shared" ref="Y21" si="233">SUM(Y22:Y23)</f>
        <v>1020993.4065671506</v>
      </c>
      <c r="Z21" s="167">
        <f t="shared" ref="Z21" si="234">SUM(Z22:Z23)</f>
        <v>1026256.6505241661</v>
      </c>
      <c r="AA21" s="167">
        <f t="shared" ref="AA21" si="235">SUM(AA22:AA23)</f>
        <v>1024125.1544547719</v>
      </c>
      <c r="AB21" s="169">
        <f>SUM(P21:AA21)</f>
        <v>11688610.419110974</v>
      </c>
      <c r="AC21" s="167">
        <f>SUM(AC22:AC23)</f>
        <v>1031192.5237399455</v>
      </c>
      <c r="AD21" s="167">
        <f t="shared" ref="AD21" si="236">SUM(AD22:AD23)</f>
        <v>1028878.4003615675</v>
      </c>
      <c r="AE21" s="167">
        <f t="shared" ref="AE21" si="237">SUM(AE22:AE23)</f>
        <v>1036729.8995481895</v>
      </c>
      <c r="AF21" s="167">
        <f t="shared" ref="AF21" si="238">SUM(AF22:AF23)</f>
        <v>1043810.8932649066</v>
      </c>
      <c r="AG21" s="167">
        <f t="shared" ref="AG21" si="239">SUM(AG22:AG23)</f>
        <v>1054949.8902141051</v>
      </c>
      <c r="AH21" s="167">
        <f t="shared" ref="AH21" si="240">SUM(AH22:AH23)</f>
        <v>1054636.744276183</v>
      </c>
      <c r="AI21" s="167">
        <f t="shared" ref="AI21" si="241">SUM(AI22:AI23)</f>
        <v>1067295.1847379645</v>
      </c>
      <c r="AJ21" s="167">
        <f t="shared" ref="AJ21" si="242">SUM(AJ22:AJ23)</f>
        <v>1075645.2629026598</v>
      </c>
      <c r="AK21" s="167">
        <f t="shared" ref="AK21" si="243">SUM(AK22:AK23)</f>
        <v>1076486.3881752614</v>
      </c>
      <c r="AL21" s="167">
        <f t="shared" ref="AL21" si="244">SUM(AL22:AL23)</f>
        <v>1072976.3918127767</v>
      </c>
      <c r="AM21" s="167">
        <f t="shared" ref="AM21" si="245">SUM(AM22:AM23)</f>
        <v>1076796.2653157038</v>
      </c>
      <c r="AN21" s="167">
        <f t="shared" ref="AN21" si="246">SUM(AN22:AN23)</f>
        <v>1071834.8034990227</v>
      </c>
      <c r="AO21" s="169">
        <f>SUM(AC21:AN21)</f>
        <v>12691232.647848288</v>
      </c>
      <c r="AP21" s="167">
        <f>SUM(AP22:AP23)</f>
        <v>1064656.9157695589</v>
      </c>
      <c r="AQ21" s="167">
        <f>SUM(AQ22:AQ23)</f>
        <v>1054864.6098860851</v>
      </c>
      <c r="AR21" s="167">
        <f t="shared" ref="AR21" si="247">SUM(AR22:AR23)</f>
        <v>1065114.6193202999</v>
      </c>
      <c r="AS21" s="167">
        <f t="shared" ref="AS21" si="248">SUM(AS22:AS23)</f>
        <v>1058185.378405449</v>
      </c>
      <c r="AT21" s="167">
        <f t="shared" ref="AT21" si="249">SUM(AT22:AT23)</f>
        <v>1056792.5194044474</v>
      </c>
      <c r="AU21" s="167">
        <f t="shared" ref="AU21" si="250">SUM(AU22:AU23)</f>
        <v>1060731.1961864829</v>
      </c>
      <c r="AV21" s="167">
        <f t="shared" ref="AV21" si="251">SUM(AV22:AV23)</f>
        <v>1064044.1419275831</v>
      </c>
      <c r="AW21" s="167">
        <f t="shared" ref="AW21" si="252">SUM(AW22:AW23)</f>
        <v>1066274.5086762626</v>
      </c>
      <c r="AX21" s="167">
        <f t="shared" ref="AX21" si="253">SUM(AX22:AX23)</f>
        <v>1073222.3518552408</v>
      </c>
      <c r="AY21" s="167">
        <f t="shared" ref="AY21" si="254">SUM(AY22:AY23)</f>
        <v>1079913.1248365967</v>
      </c>
      <c r="AZ21" s="167">
        <f t="shared" ref="AZ21" si="255">SUM(AZ22:AZ23)</f>
        <v>1078676.3392176428</v>
      </c>
      <c r="BA21" s="167">
        <f t="shared" ref="BA21" si="256">SUM(BA22:BA23)</f>
        <v>1076045.31466659</v>
      </c>
      <c r="BB21" s="169">
        <f>SUM(AP21:BA21)</f>
        <v>12798521.020152241</v>
      </c>
      <c r="BC21" s="167">
        <f>SUM(BC22:BC23)</f>
        <v>1068711.6380239264</v>
      </c>
      <c r="BD21" s="167">
        <f t="shared" ref="BD21" si="257">SUM(BD22:BD23)</f>
        <v>1084689.3074170409</v>
      </c>
      <c r="BE21" s="167">
        <f t="shared" ref="BE21" si="258">SUM(BE22:BE23)</f>
        <v>1093835.8030426104</v>
      </c>
      <c r="BF21" s="167">
        <f t="shared" ref="BF21" si="259">SUM(BF22:BF23)</f>
        <v>1085843.8783300337</v>
      </c>
      <c r="BG21" s="167">
        <f t="shared" ref="BG21" si="260">SUM(BG22:BG23)</f>
        <v>1083427.6548318227</v>
      </c>
      <c r="BH21" s="167">
        <f t="shared" ref="BH21" si="261">SUM(BH22:BH23)</f>
        <v>1086380.8316030453</v>
      </c>
      <c r="BI21" s="167">
        <f t="shared" ref="BI21" si="262">SUM(BI22:BI23)</f>
        <v>1088744.7408337328</v>
      </c>
      <c r="BJ21" s="167">
        <f t="shared" ref="BJ21" si="263">SUM(BJ22:BJ23)</f>
        <v>1090061.1854228843</v>
      </c>
      <c r="BK21" s="167">
        <f t="shared" ref="BK21" si="264">SUM(BK22:BK23)</f>
        <v>1096128.9215622377</v>
      </c>
      <c r="BL21" s="167">
        <f t="shared" ref="BL21" si="265">SUM(BL22:BL23)</f>
        <v>1101972.1514644348</v>
      </c>
      <c r="BM21" s="167">
        <f t="shared" ref="BM21" si="266">SUM(BM22:BM23)</f>
        <v>1099919.1818602509</v>
      </c>
      <c r="BN21" s="167">
        <f t="shared" ref="BN21" si="267">SUM(BN22:BN23)</f>
        <v>1096502.1721314215</v>
      </c>
      <c r="BO21" s="169">
        <f>SUM(BC21:BN21)</f>
        <v>13076217.466523441</v>
      </c>
      <c r="BP21" s="167">
        <f>SUM(BP22:BP23)</f>
        <v>1088411.591762559</v>
      </c>
      <c r="BQ21" s="167">
        <f t="shared" ref="BQ21" si="268">SUM(BQ22:BQ23)</f>
        <v>1103660.3628673442</v>
      </c>
      <c r="BR21" s="167">
        <f t="shared" ref="BR21" si="269">SUM(BR22:BR23)</f>
        <v>1112104.9294412527</v>
      </c>
      <c r="BS21" s="167">
        <f t="shared" ref="BS21" si="270">SUM(BS22:BS23)</f>
        <v>1103437.0470519264</v>
      </c>
      <c r="BT21" s="167">
        <f t="shared" ref="BT21" si="271">SUM(BT22:BT23)</f>
        <v>1100369.8763110051</v>
      </c>
      <c r="BU21" s="167">
        <f t="shared" ref="BU21" si="272">SUM(BU22:BU23)</f>
        <v>1102696.190887498</v>
      </c>
      <c r="BV21" s="167">
        <f t="shared" ref="BV21" si="273">SUM(BV22:BV23)</f>
        <v>1104456.4318246604</v>
      </c>
      <c r="BW21" s="167">
        <f t="shared" ref="BW21" si="274">SUM(BW22:BW23)</f>
        <v>1105191.5438471478</v>
      </c>
      <c r="BX21" s="167">
        <f t="shared" ref="BX21" si="275">SUM(BX22:BX23)</f>
        <v>1110699.4567248034</v>
      </c>
      <c r="BY21" s="167">
        <f t="shared" ref="BY21" si="276">SUM(BY22:BY23)</f>
        <v>1116003.5768259857</v>
      </c>
      <c r="BZ21" s="167">
        <f t="shared" ref="BZ21" si="277">SUM(BZ22:BZ23)</f>
        <v>1113431.4444834241</v>
      </c>
      <c r="CA21" s="167">
        <f t="shared" ref="CA21" si="278">SUM(CA22:CA23)</f>
        <v>1109514.4810375376</v>
      </c>
      <c r="CB21" s="169">
        <f>SUM(BP21:CA21)</f>
        <v>13269976.933065142</v>
      </c>
      <c r="CC21" s="167">
        <f>SUM(CC22:CC23)</f>
        <v>1100942.4452391486</v>
      </c>
      <c r="CD21" s="167">
        <f t="shared" ref="CD21" si="279">SUM(CD22:CD23)</f>
        <v>1115727.5747653001</v>
      </c>
      <c r="CE21" s="167">
        <f t="shared" ref="CE21" si="280">SUM(CE22:CE23)</f>
        <v>1123725.6544989841</v>
      </c>
      <c r="CF21" s="167">
        <f t="shared" ref="CF21" si="281">SUM(CF22:CF23)</f>
        <v>1114627.8052825215</v>
      </c>
      <c r="CG21" s="167">
        <f t="shared" ref="CG21" si="282">SUM(CG22:CG23)</f>
        <v>1111146.5764870686</v>
      </c>
      <c r="CH21" s="167">
        <f t="shared" ref="CH21" si="283">SUM(CH22:CH23)</f>
        <v>1113074.153157047</v>
      </c>
      <c r="CI21" s="167">
        <f t="shared" ref="CI21" si="284">SUM(CI22:CI23)</f>
        <v>1114450.4094902361</v>
      </c>
      <c r="CJ21" s="167">
        <f t="shared" ref="CJ21" si="285">SUM(CJ22:CJ23)</f>
        <v>1114815.7443390973</v>
      </c>
      <c r="CK21" s="167">
        <f t="shared" ref="CK21" si="286">SUM(CK22:CK23)</f>
        <v>1119967.5617985507</v>
      </c>
      <c r="CL21" s="167">
        <f t="shared" ref="CL21" si="287">SUM(CL22:CL23)</f>
        <v>1124928.7620120042</v>
      </c>
      <c r="CM21" s="167">
        <f t="shared" ref="CM21" si="288">SUM(CM22:CM23)</f>
        <v>1122026.39781756</v>
      </c>
      <c r="CN21" s="167">
        <f t="shared" ref="CN21" si="289">SUM(CN22:CN23)</f>
        <v>1117791.4210983105</v>
      </c>
      <c r="CO21" s="169">
        <f>SUM(CC21:CN21)</f>
        <v>13393224.505985828</v>
      </c>
      <c r="CP21" s="167">
        <f>SUM(CP22:CP23)</f>
        <v>1108913.1385176731</v>
      </c>
      <c r="CQ21" s="167">
        <f t="shared" ref="CQ21" si="290">SUM(CQ22:CQ23)</f>
        <v>1123403.3523925189</v>
      </c>
      <c r="CR21" s="167">
        <f t="shared" ref="CR21" si="291">SUM(CR22:CR23)</f>
        <v>1131117.428353996</v>
      </c>
      <c r="CS21" s="167">
        <f t="shared" ref="CS21" si="292">SUM(CS22:CS23)</f>
        <v>1121746.0835048982</v>
      </c>
      <c r="CT21" s="167">
        <f t="shared" ref="CT21" si="293">SUM(CT22:CT23)</f>
        <v>1118001.478415217</v>
      </c>
      <c r="CU21" s="167">
        <f t="shared" ref="CU21" si="294">SUM(CU22:CU23)</f>
        <v>1119675.423713854</v>
      </c>
      <c r="CV21" s="167">
        <f t="shared" ref="CV21" si="295">SUM(CV22:CV23)</f>
        <v>1120807.4330364414</v>
      </c>
      <c r="CW21" s="167">
        <f t="shared" ref="CW21" si="296">SUM(CW22:CW23)</f>
        <v>1120937.558014093</v>
      </c>
      <c r="CX21" s="167">
        <f t="shared" ref="CX21" si="297">SUM(CX22:CX23)</f>
        <v>1125862.8683675714</v>
      </c>
      <c r="CY21" s="167">
        <f t="shared" ref="CY21" si="298">SUM(CY22:CY23)</f>
        <v>1130605.9422379714</v>
      </c>
      <c r="CZ21" s="167">
        <f t="shared" ref="CZ21" si="299">SUM(CZ22:CZ23)</f>
        <v>1127493.5223751662</v>
      </c>
      <c r="DA21" s="167">
        <f t="shared" ref="DA21" si="300">SUM(DA22:DA23)</f>
        <v>1123056.2620472852</v>
      </c>
      <c r="DB21" s="169">
        <f>SUM(CP21:DA21)</f>
        <v>13471620.490976686</v>
      </c>
      <c r="DC21" s="167">
        <f>SUM(DC22:DC23)</f>
        <v>1113983.1803515356</v>
      </c>
      <c r="DD21" s="167">
        <f t="shared" ref="DD21" si="301">SUM(DD22:DD23)</f>
        <v>1128285.8026785287</v>
      </c>
      <c r="DE21" s="167">
        <f t="shared" ref="DE21" si="302">SUM(DE22:DE23)</f>
        <v>1135819.2279794235</v>
      </c>
      <c r="DF21" s="167">
        <f t="shared" ref="DF21" si="303">SUM(DF22:DF23)</f>
        <v>1126273.9165441848</v>
      </c>
      <c r="DG21" s="167">
        <f t="shared" ref="DG21" si="304">SUM(DG22:DG23)</f>
        <v>1122361.7816320499</v>
      </c>
      <c r="DH21" s="167">
        <f t="shared" ref="DH21" si="305">SUM(DH22:DH23)</f>
        <v>1123874.3957116641</v>
      </c>
      <c r="DI21" s="167">
        <f t="shared" ref="DI21" si="306">SUM(DI22:DI23)</f>
        <v>1124851.0430703326</v>
      </c>
      <c r="DJ21" s="167">
        <f t="shared" ref="DJ21" si="307">SUM(DJ22:DJ23)</f>
        <v>1124831.5544767303</v>
      </c>
      <c r="DK21" s="167">
        <f t="shared" ref="DK21" si="308">SUM(DK22:DK23)</f>
        <v>1129612.7869610912</v>
      </c>
      <c r="DL21" s="167">
        <f t="shared" ref="DL21" si="309">SUM(DL22:DL23)</f>
        <v>1134217.1138435309</v>
      </c>
      <c r="DM21" s="167">
        <f t="shared" ref="DM21" si="310">SUM(DM22:DM23)</f>
        <v>1130971.0806313199</v>
      </c>
      <c r="DN21" s="167">
        <f t="shared" ref="DN21" si="311">SUM(DN22:DN23)</f>
        <v>1126405.1506479613</v>
      </c>
      <c r="DO21" s="169">
        <f>SUM(DC21:DN21)</f>
        <v>13521487.034528352</v>
      </c>
      <c r="DP21" s="167">
        <f>SUM(DP22:DP23)</f>
        <v>1117208.1600739867</v>
      </c>
      <c r="DQ21" s="167">
        <f t="shared" ref="DQ21" si="312">SUM(DQ22:DQ23)</f>
        <v>1131391.4581512492</v>
      </c>
      <c r="DR21" s="167">
        <f t="shared" ref="DR21" si="313">SUM(DR22:DR23)</f>
        <v>1138809.9741996531</v>
      </c>
      <c r="DS21" s="167">
        <f t="shared" ref="DS21" si="314">SUM(DS22:DS23)</f>
        <v>1129154.005154266</v>
      </c>
      <c r="DT21" s="167">
        <f t="shared" ref="DT21" si="315">SUM(DT22:DT23)</f>
        <v>1125135.3069635583</v>
      </c>
      <c r="DU21" s="167">
        <f t="shared" ref="DU21" si="316">SUM(DU22:DU23)</f>
        <v>1126545.3006059066</v>
      </c>
      <c r="DV21" s="167">
        <f t="shared" ref="DV21" si="317">SUM(DV22:DV23)</f>
        <v>1127423.124483488</v>
      </c>
      <c r="DW21" s="167">
        <f t="shared" ref="DW21" si="318">SUM(DW22:DW23)</f>
        <v>1127308.4688775986</v>
      </c>
      <c r="DX21" s="167">
        <f t="shared" ref="DX21" si="319">SUM(DX22:DX23)</f>
        <v>1131998.0555291276</v>
      </c>
      <c r="DY21" s="167">
        <f t="shared" ref="DY21" si="320">SUM(DY22:DY23)</f>
        <v>1136514.1274745497</v>
      </c>
      <c r="DZ21" s="167">
        <f t="shared" ref="DZ21" si="321">SUM(DZ22:DZ23)</f>
        <v>1133183.1047579914</v>
      </c>
      <c r="EA21" s="167">
        <f t="shared" ref="EA21" si="322">SUM(EA22:EA23)</f>
        <v>1128535.3298819456</v>
      </c>
      <c r="EB21" s="171">
        <f>SUM(DP21:EA21)</f>
        <v>13553206.416153321</v>
      </c>
    </row>
    <row r="22" spans="1:132" s="7" customFormat="1" ht="24" customHeight="1">
      <c r="A22" s="165"/>
      <c r="B22" s="176" t="s">
        <v>211</v>
      </c>
      <c r="C22" s="2"/>
      <c r="D22" s="2"/>
      <c r="E22" s="2"/>
      <c r="F22" s="177"/>
      <c r="G22" s="177">
        <f>各種シミュレーション!$F$14*E4</f>
        <v>409919.99999999994</v>
      </c>
      <c r="H22" s="177">
        <f>各種シミュレーション!$F$14*F4</f>
        <v>441119.99999999994</v>
      </c>
      <c r="I22" s="177">
        <f>各種シミュレーション!$F$14*G4</f>
        <v>479519.99999999994</v>
      </c>
      <c r="J22" s="177">
        <f>各種シミュレーション!$F$14*H4</f>
        <v>518399.99999999994</v>
      </c>
      <c r="K22" s="177">
        <f>各種シミュレーション!$F$14*I4</f>
        <v>532377.59999999986</v>
      </c>
      <c r="L22" s="177">
        <f>各種シミュレーション!$F$14*J4</f>
        <v>578841.4463999999</v>
      </c>
      <c r="M22" s="177">
        <f>各種シミュレーション!$F$14*K4</f>
        <v>614234.19048959995</v>
      </c>
      <c r="N22" s="178">
        <f>各種シミュレーション!$F$14*L4</f>
        <v>617525.18353658868</v>
      </c>
      <c r="O22" s="179">
        <f t="shared" si="223"/>
        <v>4191938.420426188</v>
      </c>
      <c r="P22" s="180">
        <f>各種シミュレーション!$F$14*M4</f>
        <v>612021.49991036905</v>
      </c>
      <c r="Q22" s="177">
        <f>各種シミュレーション!$F$14*N4</f>
        <v>597656.48941458168</v>
      </c>
      <c r="R22" s="177">
        <f>各種シミュレーション!$F$14*P4</f>
        <v>630046.63441209646</v>
      </c>
      <c r="S22" s="177">
        <f>各種シミュレーション!$F$14*Q4</f>
        <v>627314.44259472797</v>
      </c>
      <c r="T22" s="177">
        <f>各種シミュレーション!$F$14*R4</f>
        <v>635270.66379277583</v>
      </c>
      <c r="U22" s="177">
        <f>各種シミュレーション!$F$14*S4</f>
        <v>654965.64923244307</v>
      </c>
      <c r="V22" s="177">
        <f>各種シミュレーション!$F$14*T4</f>
        <v>657611.92021084274</v>
      </c>
      <c r="W22" s="177">
        <f>各種シミュレーション!$F$14*U4</f>
        <v>658720.2791630415</v>
      </c>
      <c r="X22" s="177">
        <f>各種シミュレーション!$F$14*V4</f>
        <v>663627.62883400882</v>
      </c>
      <c r="Y22" s="177">
        <f>各種シミュレーション!$F$14*W4</f>
        <v>700993.40656715061</v>
      </c>
      <c r="Z22" s="177">
        <f>各種シミュレーション!$F$14*X4</f>
        <v>706256.65052416606</v>
      </c>
      <c r="AA22" s="178">
        <f>各種シミュレーション!$F$14*Y4</f>
        <v>704125.15445477189</v>
      </c>
      <c r="AB22" s="179">
        <f t="shared" si="221"/>
        <v>7848610.4191109762</v>
      </c>
      <c r="AC22" s="180">
        <f>各種シミュレーション!$F$14*Z4</f>
        <v>711192.52373994549</v>
      </c>
      <c r="AD22" s="177">
        <f>各種シミュレーション!$F$14*AA4</f>
        <v>708878.4003615675</v>
      </c>
      <c r="AE22" s="177">
        <f>各種シミュレーション!$F$14*AC4</f>
        <v>716729.89954818948</v>
      </c>
      <c r="AF22" s="177">
        <f>各種シミュレーション!$F$14*AD4</f>
        <v>723810.8932649066</v>
      </c>
      <c r="AG22" s="177">
        <f>各種シミュレーション!$F$14*AE4</f>
        <v>734949.89021410502</v>
      </c>
      <c r="AH22" s="177">
        <f>各種シミュレーション!$F$14*AF4</f>
        <v>734636.74427618296</v>
      </c>
      <c r="AI22" s="177">
        <f>各種シミュレーション!$F$14*AG4</f>
        <v>747295.18473796442</v>
      </c>
      <c r="AJ22" s="177">
        <f>各種シミュレーション!$F$14*AH4</f>
        <v>755645.26290265971</v>
      </c>
      <c r="AK22" s="177">
        <f>各種シミュレーション!$F$14*AI4</f>
        <v>756486.38817526144</v>
      </c>
      <c r="AL22" s="177">
        <f>各種シミュレーション!$F$14*AJ4</f>
        <v>752976.39181277656</v>
      </c>
      <c r="AM22" s="177">
        <f>各種シミュレーション!$F$14*AK4</f>
        <v>756796.26531570381</v>
      </c>
      <c r="AN22" s="178">
        <f>各種シミュレーション!$F$14*AL4</f>
        <v>751834.80349902273</v>
      </c>
      <c r="AO22" s="179">
        <f t="shared" si="222"/>
        <v>8851232.6478482857</v>
      </c>
      <c r="AP22" s="180">
        <f>各種シミュレーション!$F$14*AM4</f>
        <v>744656.91576955887</v>
      </c>
      <c r="AQ22" s="177">
        <f>各種シミュレーション!$F$14*AN4</f>
        <v>734864.60988608515</v>
      </c>
      <c r="AR22" s="177">
        <f>各種シミュレーション!$F$14*AP4</f>
        <v>745114.61932030006</v>
      </c>
      <c r="AS22" s="177">
        <f>各種シミュレーション!$F$14*AQ4</f>
        <v>738185.3784054491</v>
      </c>
      <c r="AT22" s="177">
        <f>各種シミュレーション!$F$14*AR4</f>
        <v>736792.5194044474</v>
      </c>
      <c r="AU22" s="177">
        <f>各種シミュレーション!$F$14*AS4</f>
        <v>740731.19618648279</v>
      </c>
      <c r="AV22" s="177">
        <f>各種シミュレーション!$F$14*AT4</f>
        <v>744044.14192758303</v>
      </c>
      <c r="AW22" s="177">
        <f>各種シミュレーション!$F$14*AU4</f>
        <v>746274.50867626246</v>
      </c>
      <c r="AX22" s="177">
        <f>各種シミュレーション!$F$14*AV4</f>
        <v>753222.35185524065</v>
      </c>
      <c r="AY22" s="177">
        <f>各種シミュレーション!$F$14*AW4</f>
        <v>759913.12483659678</v>
      </c>
      <c r="AZ22" s="177">
        <f>各種シミュレーション!$F$14*AX4</f>
        <v>758676.33921764279</v>
      </c>
      <c r="BA22" s="178">
        <f>各種シミュレーション!$F$14*AY4</f>
        <v>756045.31466658995</v>
      </c>
      <c r="BB22" s="179">
        <f t="shared" si="154"/>
        <v>8958521.0201522391</v>
      </c>
      <c r="BC22" s="180">
        <f>各種シミュレーション!$F$14*AZ4</f>
        <v>748711.63802392629</v>
      </c>
      <c r="BD22" s="177">
        <f>各種シミュレーション!$F$14*BA4</f>
        <v>764689.30741704092</v>
      </c>
      <c r="BE22" s="177">
        <f>各種シミュレーション!$F$14*BC4</f>
        <v>773835.80304261041</v>
      </c>
      <c r="BF22" s="177">
        <f>各種シミュレーション!$F$14*BD4</f>
        <v>765843.87833003385</v>
      </c>
      <c r="BG22" s="177">
        <f>各種シミュレーション!$F$14*BE4</f>
        <v>763427.65483182273</v>
      </c>
      <c r="BH22" s="177">
        <f>各種シミュレーション!$F$14*BF4</f>
        <v>766380.83160304534</v>
      </c>
      <c r="BI22" s="177">
        <f>各種シミュレーション!$F$14*BG4</f>
        <v>768744.74083373265</v>
      </c>
      <c r="BJ22" s="177">
        <f>各種シミュレーション!$F$14*BH4</f>
        <v>770061.18542288442</v>
      </c>
      <c r="BK22" s="177">
        <f>各種シミュレーション!$F$14*BI4</f>
        <v>776128.92156223767</v>
      </c>
      <c r="BL22" s="177">
        <f>各種シミュレーション!$F$14*BJ4</f>
        <v>781972.15146443481</v>
      </c>
      <c r="BM22" s="177">
        <f>各種シミュレーション!$F$14*BK4</f>
        <v>779919.18186025077</v>
      </c>
      <c r="BN22" s="178">
        <f>各種シミュレーション!$F$14*BL4</f>
        <v>776502.17213142151</v>
      </c>
      <c r="BO22" s="179">
        <f t="shared" si="165"/>
        <v>9236217.4665234406</v>
      </c>
      <c r="BP22" s="180">
        <f>各種シミュレーション!$F$14*BM4</f>
        <v>768411.59176255914</v>
      </c>
      <c r="BQ22" s="177">
        <f>各種シミュレーション!$F$14*BN4</f>
        <v>783660.36286734429</v>
      </c>
      <c r="BR22" s="177">
        <f>各種シミュレーション!$F$14*BP4</f>
        <v>792104.92944125272</v>
      </c>
      <c r="BS22" s="177">
        <f>各種シミュレーション!$F$14*BQ4</f>
        <v>783437.04705192638</v>
      </c>
      <c r="BT22" s="177">
        <f>各種シミュレーション!$F$14*BR4</f>
        <v>780369.87631100509</v>
      </c>
      <c r="BU22" s="177">
        <f>各種シミュレーション!$F$14*BS4</f>
        <v>782696.19088749797</v>
      </c>
      <c r="BV22" s="177">
        <f>各種シミュレーション!$F$14*BT4</f>
        <v>784456.43182466039</v>
      </c>
      <c r="BW22" s="177">
        <f>各種シミュレーション!$F$14*BU4</f>
        <v>785191.54384714796</v>
      </c>
      <c r="BX22" s="177">
        <f>各種シミュレーション!$F$14*BV4</f>
        <v>790699.45672480331</v>
      </c>
      <c r="BY22" s="177">
        <f>各種シミュレーション!$F$14*BW4</f>
        <v>796003.57682598557</v>
      </c>
      <c r="BZ22" s="177">
        <f>各種シミュレーション!$F$14*BX4</f>
        <v>793431.44448342407</v>
      </c>
      <c r="CA22" s="178">
        <f>各種シミュレーション!$F$14*BY4</f>
        <v>789514.48103753745</v>
      </c>
      <c r="CB22" s="179">
        <f t="shared" si="176"/>
        <v>9429976.9330651425</v>
      </c>
      <c r="CC22" s="180">
        <f>各種シミュレーション!$F$14*BZ4</f>
        <v>780942.44523914868</v>
      </c>
      <c r="CD22" s="177">
        <f>各種シミュレーション!$F$14*CA4</f>
        <v>795727.57476530015</v>
      </c>
      <c r="CE22" s="177">
        <f>各種シミュレーション!$F$14*CC4</f>
        <v>803725.65449898399</v>
      </c>
      <c r="CF22" s="177">
        <f>各種シミュレーション!$F$14*CD4</f>
        <v>794627.80528252164</v>
      </c>
      <c r="CG22" s="177">
        <f>各種シミュレーション!$F$14*CE4</f>
        <v>791146.57648706844</v>
      </c>
      <c r="CH22" s="177">
        <f>各種シミュレーション!$F$14*CF4</f>
        <v>793074.15315704688</v>
      </c>
      <c r="CI22" s="177">
        <f>各種シミュレーション!$F$14*CG4</f>
        <v>794450.40949023608</v>
      </c>
      <c r="CJ22" s="177">
        <f>各種シミュレーション!$F$14*CH4</f>
        <v>794815.74433909741</v>
      </c>
      <c r="CK22" s="177">
        <f>各種シミュレーション!$F$14*CI4</f>
        <v>799967.56179855065</v>
      </c>
      <c r="CL22" s="177">
        <f>各種シミュレーション!$F$14*CJ4</f>
        <v>804928.76201200415</v>
      </c>
      <c r="CM22" s="177">
        <f>各種シミュレーション!$F$14*CK4</f>
        <v>802026.39781756001</v>
      </c>
      <c r="CN22" s="178">
        <f>各種シミュレーション!$F$14*CL4</f>
        <v>797791.42109831038</v>
      </c>
      <c r="CO22" s="179">
        <f t="shared" si="187"/>
        <v>9553224.5059858281</v>
      </c>
      <c r="CP22" s="180">
        <f>各種シミュレーション!$F$14*CM4</f>
        <v>788913.13851767301</v>
      </c>
      <c r="CQ22" s="177">
        <f>各種シミュレーション!$F$14*CN4</f>
        <v>803403.35239251901</v>
      </c>
      <c r="CR22" s="177">
        <f>各種シミュレーション!$F$14*CP4</f>
        <v>811117.42835399602</v>
      </c>
      <c r="CS22" s="177">
        <f>各種シミュレーション!$F$14*CQ4</f>
        <v>801746.08350489824</v>
      </c>
      <c r="CT22" s="177">
        <f>各種シミュレーション!$F$14*CR4</f>
        <v>798001.47841521702</v>
      </c>
      <c r="CU22" s="177">
        <f>各種シミュレーション!$F$14*CS4</f>
        <v>799675.42371385393</v>
      </c>
      <c r="CV22" s="177">
        <f>各種シミュレーション!$F$14*CT4</f>
        <v>800807.43303644145</v>
      </c>
      <c r="CW22" s="177">
        <f>各種シミュレーション!$F$14*CU4</f>
        <v>800937.55801409297</v>
      </c>
      <c r="CX22" s="177">
        <f>各種シミュレーション!$F$14*CV4</f>
        <v>805862.8683675715</v>
      </c>
      <c r="CY22" s="177">
        <f>各種シミュレーション!$F$14*CW4</f>
        <v>810605.94223797135</v>
      </c>
      <c r="CZ22" s="177">
        <f>各種シミュレーション!$F$14*CX4</f>
        <v>807493.52237516618</v>
      </c>
      <c r="DA22" s="178">
        <f>各種シミュレーション!$F$14*CY4</f>
        <v>803056.2620472851</v>
      </c>
      <c r="DB22" s="179">
        <f t="shared" si="198"/>
        <v>9631620.4909766857</v>
      </c>
      <c r="DC22" s="180">
        <f>各種シミュレーション!$F$14*CZ4</f>
        <v>793983.18035153556</v>
      </c>
      <c r="DD22" s="177">
        <f>各種シミュレーション!$F$14*DA4</f>
        <v>808285.80267852882</v>
      </c>
      <c r="DE22" s="177">
        <f>各種シミュレーション!$F$14*DC4</f>
        <v>815819.22797942336</v>
      </c>
      <c r="DF22" s="177">
        <f>各種シミュレーション!$F$14*DD4</f>
        <v>806273.91654418479</v>
      </c>
      <c r="DG22" s="177">
        <f>各種シミュレーション!$F$14*DE4</f>
        <v>802361.78163204994</v>
      </c>
      <c r="DH22" s="177">
        <f>各種シミュレーション!$F$14*DF4</f>
        <v>803874.39571166411</v>
      </c>
      <c r="DI22" s="177">
        <f>各種シミュレーション!$F$14*DG4</f>
        <v>804851.04307033261</v>
      </c>
      <c r="DJ22" s="177">
        <f>各種シミュレーション!$F$14*DH4</f>
        <v>804831.55447673029</v>
      </c>
      <c r="DK22" s="177">
        <f>各種シミュレーション!$F$14*DI4</f>
        <v>809612.78696109122</v>
      </c>
      <c r="DL22" s="177">
        <f>各種シミュレーション!$F$14*DJ4</f>
        <v>814217.11384353077</v>
      </c>
      <c r="DM22" s="177">
        <f>各種シミュレーション!$F$14*DK4</f>
        <v>810971.08063132002</v>
      </c>
      <c r="DN22" s="178">
        <f>各種シミュレーション!$F$14*DL4</f>
        <v>806405.1506479613</v>
      </c>
      <c r="DO22" s="179">
        <f t="shared" si="209"/>
        <v>9681487.0345283523</v>
      </c>
      <c r="DP22" s="180">
        <f>各種シミュレーション!$F$14*DM4</f>
        <v>797208.16007398674</v>
      </c>
      <c r="DQ22" s="177">
        <f>各種シミュレーション!$F$14*DN4</f>
        <v>811391.45815124922</v>
      </c>
      <c r="DR22" s="177">
        <f>各種シミュレーション!$F$14*DP4</f>
        <v>818809.97419965302</v>
      </c>
      <c r="DS22" s="177">
        <f>各種シミュレーション!$F$14*DQ4</f>
        <v>809154.00515426591</v>
      </c>
      <c r="DT22" s="177">
        <f>各種シミュレーション!$F$14*DR4</f>
        <v>805135.30696355819</v>
      </c>
      <c r="DU22" s="177">
        <f>各種シミュレーション!$F$14*DS4</f>
        <v>806545.30060590652</v>
      </c>
      <c r="DV22" s="177">
        <f>各種シミュレーション!$F$14*DT4</f>
        <v>807423.12448348803</v>
      </c>
      <c r="DW22" s="177">
        <f>各種シミュレーション!$F$14*DU4</f>
        <v>807308.46887759876</v>
      </c>
      <c r="DX22" s="177">
        <f>各種シミュレーション!$F$14*DV4</f>
        <v>811998.0555291276</v>
      </c>
      <c r="DY22" s="177">
        <f>各種シミュレーション!$F$14*DW4</f>
        <v>816514.12747454981</v>
      </c>
      <c r="DZ22" s="177">
        <f>各種シミュレーション!$F$14*DX4</f>
        <v>813183.10475799139</v>
      </c>
      <c r="EA22" s="178">
        <f>各種シミュレーション!$F$14*DY4</f>
        <v>808535.32988194574</v>
      </c>
      <c r="EB22" s="181">
        <f t="shared" si="220"/>
        <v>9713206.416153321</v>
      </c>
    </row>
    <row r="23" spans="1:132" s="7" customFormat="1" ht="24" customHeight="1">
      <c r="A23" s="182"/>
      <c r="B23" s="176" t="s">
        <v>210</v>
      </c>
      <c r="C23" s="2"/>
      <c r="D23" s="2"/>
      <c r="E23" s="2"/>
      <c r="F23" s="177"/>
      <c r="G23" s="177"/>
      <c r="H23" s="177"/>
      <c r="I23" s="177">
        <f>各種シミュレーション!$F$18*80*0.2</f>
        <v>64000</v>
      </c>
      <c r="J23" s="177">
        <f>各種シミュレーション!$F$18*80*0.5</f>
        <v>160000</v>
      </c>
      <c r="K23" s="177">
        <f>各種シミュレーション!$F$18*80*0.8</f>
        <v>256000</v>
      </c>
      <c r="L23" s="177">
        <f>各種シミュレーション!$F$18*80*0.8</f>
        <v>256000</v>
      </c>
      <c r="M23" s="177">
        <f>各種シミュレーション!$F$18*80</f>
        <v>320000</v>
      </c>
      <c r="N23" s="178">
        <f>各種シミュレーション!$F$18*80</f>
        <v>320000</v>
      </c>
      <c r="O23" s="179">
        <f t="shared" si="223"/>
        <v>1376000</v>
      </c>
      <c r="P23" s="180">
        <f>各種シミュレーション!$F$18*80</f>
        <v>320000</v>
      </c>
      <c r="Q23" s="177">
        <f>各種シミュレーション!$F$18*80</f>
        <v>320000</v>
      </c>
      <c r="R23" s="177">
        <f>各種シミュレーション!$F$18*80</f>
        <v>320000</v>
      </c>
      <c r="S23" s="177">
        <f>各種シミュレーション!$F$18*80</f>
        <v>320000</v>
      </c>
      <c r="T23" s="177">
        <f>各種シミュレーション!$F$18*80</f>
        <v>320000</v>
      </c>
      <c r="U23" s="177">
        <f>各種シミュレーション!$F$18*80</f>
        <v>320000</v>
      </c>
      <c r="V23" s="177">
        <f>各種シミュレーション!$F$18*80</f>
        <v>320000</v>
      </c>
      <c r="W23" s="177">
        <f>各種シミュレーション!$F$18*80</f>
        <v>320000</v>
      </c>
      <c r="X23" s="177">
        <f>各種シミュレーション!$F$18*80</f>
        <v>320000</v>
      </c>
      <c r="Y23" s="177">
        <f>各種シミュレーション!$F$18*80</f>
        <v>320000</v>
      </c>
      <c r="Z23" s="177">
        <f>各種シミュレーション!$F$18*80</f>
        <v>320000</v>
      </c>
      <c r="AA23" s="178">
        <f>各種シミュレーション!$F$18*80</f>
        <v>320000</v>
      </c>
      <c r="AB23" s="179">
        <f t="shared" si="221"/>
        <v>3840000</v>
      </c>
      <c r="AC23" s="180">
        <f>各種シミュレーション!$F$18*80</f>
        <v>320000</v>
      </c>
      <c r="AD23" s="177">
        <f>各種シミュレーション!$F$18*80</f>
        <v>320000</v>
      </c>
      <c r="AE23" s="177">
        <f>各種シミュレーション!$F$18*80</f>
        <v>320000</v>
      </c>
      <c r="AF23" s="177">
        <f>各種シミュレーション!$F$18*80</f>
        <v>320000</v>
      </c>
      <c r="AG23" s="177">
        <f>各種シミュレーション!$F$18*80</f>
        <v>320000</v>
      </c>
      <c r="AH23" s="177">
        <f>各種シミュレーション!$F$18*80</f>
        <v>320000</v>
      </c>
      <c r="AI23" s="177">
        <f>各種シミュレーション!$F$18*80</f>
        <v>320000</v>
      </c>
      <c r="AJ23" s="177">
        <f>各種シミュレーション!$F$18*80</f>
        <v>320000</v>
      </c>
      <c r="AK23" s="177">
        <f>各種シミュレーション!$F$18*80</f>
        <v>320000</v>
      </c>
      <c r="AL23" s="177">
        <f>各種シミュレーション!$F$18*80</f>
        <v>320000</v>
      </c>
      <c r="AM23" s="177">
        <f>各種シミュレーション!$F$18*80</f>
        <v>320000</v>
      </c>
      <c r="AN23" s="178">
        <f>各種シミュレーション!$F$18*80</f>
        <v>320000</v>
      </c>
      <c r="AO23" s="179">
        <f t="shared" si="222"/>
        <v>3840000</v>
      </c>
      <c r="AP23" s="180">
        <f>各種シミュレーション!$F$18*80</f>
        <v>320000</v>
      </c>
      <c r="AQ23" s="177">
        <f>各種シミュレーション!$F$18*80</f>
        <v>320000</v>
      </c>
      <c r="AR23" s="177">
        <f>各種シミュレーション!$F$18*80</f>
        <v>320000</v>
      </c>
      <c r="AS23" s="177">
        <f>各種シミュレーション!$F$18*80</f>
        <v>320000</v>
      </c>
      <c r="AT23" s="177">
        <f>各種シミュレーション!$F$18*80</f>
        <v>320000</v>
      </c>
      <c r="AU23" s="177">
        <f>各種シミュレーション!$F$18*80</f>
        <v>320000</v>
      </c>
      <c r="AV23" s="177">
        <f>各種シミュレーション!$F$18*80</f>
        <v>320000</v>
      </c>
      <c r="AW23" s="177">
        <f>各種シミュレーション!$F$18*80</f>
        <v>320000</v>
      </c>
      <c r="AX23" s="177">
        <f>各種シミュレーション!$F$18*80</f>
        <v>320000</v>
      </c>
      <c r="AY23" s="177">
        <f>各種シミュレーション!$F$18*80</f>
        <v>320000</v>
      </c>
      <c r="AZ23" s="177">
        <f>各種シミュレーション!$F$18*80</f>
        <v>320000</v>
      </c>
      <c r="BA23" s="178">
        <f>各種シミュレーション!$F$18*80</f>
        <v>320000</v>
      </c>
      <c r="BB23" s="179">
        <f t="shared" si="154"/>
        <v>3840000</v>
      </c>
      <c r="BC23" s="180">
        <f>各種シミュレーション!$F$18*80</f>
        <v>320000</v>
      </c>
      <c r="BD23" s="177">
        <f>各種シミュレーション!$F$18*80</f>
        <v>320000</v>
      </c>
      <c r="BE23" s="177">
        <f>各種シミュレーション!$F$18*80</f>
        <v>320000</v>
      </c>
      <c r="BF23" s="177">
        <f>各種シミュレーション!$F$18*80</f>
        <v>320000</v>
      </c>
      <c r="BG23" s="177">
        <f>各種シミュレーション!$F$18*80</f>
        <v>320000</v>
      </c>
      <c r="BH23" s="177">
        <f>各種シミュレーション!$F$18*80</f>
        <v>320000</v>
      </c>
      <c r="BI23" s="177">
        <f>各種シミュレーション!$F$18*80</f>
        <v>320000</v>
      </c>
      <c r="BJ23" s="177">
        <f>各種シミュレーション!$F$18*80</f>
        <v>320000</v>
      </c>
      <c r="BK23" s="177">
        <f>各種シミュレーション!$F$18*80</f>
        <v>320000</v>
      </c>
      <c r="BL23" s="177">
        <f>各種シミュレーション!$F$18*80</f>
        <v>320000</v>
      </c>
      <c r="BM23" s="177">
        <f>各種シミュレーション!$F$18*80</f>
        <v>320000</v>
      </c>
      <c r="BN23" s="178">
        <f>各種シミュレーション!$F$18*80</f>
        <v>320000</v>
      </c>
      <c r="BO23" s="179">
        <f t="shared" si="165"/>
        <v>3840000</v>
      </c>
      <c r="BP23" s="180">
        <f>各種シミュレーション!$F$18*80</f>
        <v>320000</v>
      </c>
      <c r="BQ23" s="177">
        <f>各種シミュレーション!$F$18*80</f>
        <v>320000</v>
      </c>
      <c r="BR23" s="177">
        <f>各種シミュレーション!$F$18*80</f>
        <v>320000</v>
      </c>
      <c r="BS23" s="177">
        <f>各種シミュレーション!$F$18*80</f>
        <v>320000</v>
      </c>
      <c r="BT23" s="177">
        <f>各種シミュレーション!$F$18*80</f>
        <v>320000</v>
      </c>
      <c r="BU23" s="177">
        <f>各種シミュレーション!$F$18*80</f>
        <v>320000</v>
      </c>
      <c r="BV23" s="177">
        <f>各種シミュレーション!$F$18*80</f>
        <v>320000</v>
      </c>
      <c r="BW23" s="177">
        <f>各種シミュレーション!$F$18*80</f>
        <v>320000</v>
      </c>
      <c r="BX23" s="177">
        <f>各種シミュレーション!$F$18*80</f>
        <v>320000</v>
      </c>
      <c r="BY23" s="177">
        <f>各種シミュレーション!$F$18*80</f>
        <v>320000</v>
      </c>
      <c r="BZ23" s="177">
        <f>各種シミュレーション!$F$18*80</f>
        <v>320000</v>
      </c>
      <c r="CA23" s="178">
        <f>各種シミュレーション!$F$18*80</f>
        <v>320000</v>
      </c>
      <c r="CB23" s="179">
        <f t="shared" si="176"/>
        <v>3840000</v>
      </c>
      <c r="CC23" s="180">
        <f>各種シミュレーション!$F$18*80</f>
        <v>320000</v>
      </c>
      <c r="CD23" s="177">
        <f>各種シミュレーション!$F$18*80</f>
        <v>320000</v>
      </c>
      <c r="CE23" s="177">
        <f>各種シミュレーション!$F$18*80</f>
        <v>320000</v>
      </c>
      <c r="CF23" s="177">
        <f>各種シミュレーション!$F$18*80</f>
        <v>320000</v>
      </c>
      <c r="CG23" s="177">
        <f>各種シミュレーション!$F$18*80</f>
        <v>320000</v>
      </c>
      <c r="CH23" s="177">
        <f>各種シミュレーション!$F$18*80</f>
        <v>320000</v>
      </c>
      <c r="CI23" s="177">
        <f>各種シミュレーション!$F$18*80</f>
        <v>320000</v>
      </c>
      <c r="CJ23" s="177">
        <f>各種シミュレーション!$F$18*80</f>
        <v>320000</v>
      </c>
      <c r="CK23" s="177">
        <f>各種シミュレーション!$F$18*80</f>
        <v>320000</v>
      </c>
      <c r="CL23" s="177">
        <f>各種シミュレーション!$F$18*80</f>
        <v>320000</v>
      </c>
      <c r="CM23" s="177">
        <f>各種シミュレーション!$F$18*80</f>
        <v>320000</v>
      </c>
      <c r="CN23" s="178">
        <f>各種シミュレーション!$F$18*80</f>
        <v>320000</v>
      </c>
      <c r="CO23" s="179">
        <f t="shared" si="187"/>
        <v>3840000</v>
      </c>
      <c r="CP23" s="180">
        <f>各種シミュレーション!$F$18*80</f>
        <v>320000</v>
      </c>
      <c r="CQ23" s="177">
        <f>各種シミュレーション!$F$18*80</f>
        <v>320000</v>
      </c>
      <c r="CR23" s="177">
        <f>各種シミュレーション!$F$18*80</f>
        <v>320000</v>
      </c>
      <c r="CS23" s="177">
        <f>各種シミュレーション!$F$18*80</f>
        <v>320000</v>
      </c>
      <c r="CT23" s="177">
        <f>各種シミュレーション!$F$18*80</f>
        <v>320000</v>
      </c>
      <c r="CU23" s="177">
        <f>各種シミュレーション!$F$18*80</f>
        <v>320000</v>
      </c>
      <c r="CV23" s="177">
        <f>各種シミュレーション!$F$18*80</f>
        <v>320000</v>
      </c>
      <c r="CW23" s="177">
        <f>各種シミュレーション!$F$18*80</f>
        <v>320000</v>
      </c>
      <c r="CX23" s="177">
        <f>各種シミュレーション!$F$18*80</f>
        <v>320000</v>
      </c>
      <c r="CY23" s="177">
        <f>各種シミュレーション!$F$18*80</f>
        <v>320000</v>
      </c>
      <c r="CZ23" s="177">
        <f>各種シミュレーション!$F$18*80</f>
        <v>320000</v>
      </c>
      <c r="DA23" s="178">
        <f>各種シミュレーション!$F$18*80</f>
        <v>320000</v>
      </c>
      <c r="DB23" s="179">
        <f t="shared" si="198"/>
        <v>3840000</v>
      </c>
      <c r="DC23" s="180">
        <f>各種シミュレーション!$F$18*80</f>
        <v>320000</v>
      </c>
      <c r="DD23" s="177">
        <f>各種シミュレーション!$F$18*80</f>
        <v>320000</v>
      </c>
      <c r="DE23" s="177">
        <f>各種シミュレーション!$F$18*80</f>
        <v>320000</v>
      </c>
      <c r="DF23" s="177">
        <f>各種シミュレーション!$F$18*80</f>
        <v>320000</v>
      </c>
      <c r="DG23" s="177">
        <f>各種シミュレーション!$F$18*80</f>
        <v>320000</v>
      </c>
      <c r="DH23" s="177">
        <f>各種シミュレーション!$F$18*80</f>
        <v>320000</v>
      </c>
      <c r="DI23" s="177">
        <f>各種シミュレーション!$F$18*80</f>
        <v>320000</v>
      </c>
      <c r="DJ23" s="177">
        <f>各種シミュレーション!$F$18*80</f>
        <v>320000</v>
      </c>
      <c r="DK23" s="177">
        <f>各種シミュレーション!$F$18*80</f>
        <v>320000</v>
      </c>
      <c r="DL23" s="177">
        <f>各種シミュレーション!$F$18*80</f>
        <v>320000</v>
      </c>
      <c r="DM23" s="177">
        <f>各種シミュレーション!$F$18*80</f>
        <v>320000</v>
      </c>
      <c r="DN23" s="178">
        <f>各種シミュレーション!$F$18*80</f>
        <v>320000</v>
      </c>
      <c r="DO23" s="179">
        <f t="shared" si="209"/>
        <v>3840000</v>
      </c>
      <c r="DP23" s="180">
        <f>各種シミュレーション!$F$18*80</f>
        <v>320000</v>
      </c>
      <c r="DQ23" s="177">
        <f>各種シミュレーション!$F$18*80</f>
        <v>320000</v>
      </c>
      <c r="DR23" s="177">
        <f>各種シミュレーション!$F$18*80</f>
        <v>320000</v>
      </c>
      <c r="DS23" s="177">
        <f>各種シミュレーション!$F$18*80</f>
        <v>320000</v>
      </c>
      <c r="DT23" s="177">
        <f>各種シミュレーション!$F$18*80</f>
        <v>320000</v>
      </c>
      <c r="DU23" s="177">
        <f>各種シミュレーション!$F$18*80</f>
        <v>320000</v>
      </c>
      <c r="DV23" s="177">
        <f>各種シミュレーション!$F$18*80</f>
        <v>320000</v>
      </c>
      <c r="DW23" s="177">
        <f>各種シミュレーション!$F$18*80</f>
        <v>320000</v>
      </c>
      <c r="DX23" s="177">
        <f>各種シミュレーション!$F$18*80</f>
        <v>320000</v>
      </c>
      <c r="DY23" s="177">
        <f>各種シミュレーション!$F$18*80</f>
        <v>320000</v>
      </c>
      <c r="DZ23" s="177">
        <f>各種シミュレーション!$F$18*80</f>
        <v>320000</v>
      </c>
      <c r="EA23" s="178">
        <f>各種シミュレーション!$F$18*80</f>
        <v>320000</v>
      </c>
      <c r="EB23" s="181">
        <f t="shared" si="220"/>
        <v>3840000</v>
      </c>
    </row>
    <row r="24" spans="1:132" s="95" customFormat="1" ht="36" customHeight="1">
      <c r="A24" s="375" t="s">
        <v>136</v>
      </c>
      <c r="B24" s="376"/>
      <c r="C24" s="96"/>
      <c r="D24" s="96"/>
      <c r="E24" s="96">
        <f>SUM(E25:E27)</f>
        <v>30000</v>
      </c>
      <c r="F24" s="96">
        <f>SUM(F25:F27)</f>
        <v>30000</v>
      </c>
      <c r="G24" s="96">
        <f t="shared" ref="G24:N24" si="323">SUM(G25:G27)</f>
        <v>30000</v>
      </c>
      <c r="H24" s="96">
        <f t="shared" si="323"/>
        <v>30000</v>
      </c>
      <c r="I24" s="96">
        <f t="shared" si="323"/>
        <v>62000</v>
      </c>
      <c r="J24" s="96">
        <f t="shared" si="323"/>
        <v>110000</v>
      </c>
      <c r="K24" s="96">
        <f t="shared" si="323"/>
        <v>158000</v>
      </c>
      <c r="L24" s="96">
        <f t="shared" si="323"/>
        <v>158000</v>
      </c>
      <c r="M24" s="96">
        <f t="shared" si="323"/>
        <v>190000</v>
      </c>
      <c r="N24" s="97">
        <f t="shared" si="323"/>
        <v>238720</v>
      </c>
      <c r="O24" s="98">
        <f t="shared" ref="O24:O28" si="324">SUM(C24:N24)</f>
        <v>1036720</v>
      </c>
      <c r="P24" s="99">
        <f>SUM(P25:P27)</f>
        <v>190000</v>
      </c>
      <c r="Q24" s="96">
        <f t="shared" ref="Q24:AA24" si="325">SUM(Q25:Q27)</f>
        <v>190000</v>
      </c>
      <c r="R24" s="96">
        <f t="shared" si="325"/>
        <v>190000</v>
      </c>
      <c r="S24" s="96">
        <f t="shared" si="325"/>
        <v>190000</v>
      </c>
      <c r="T24" s="96">
        <f t="shared" si="325"/>
        <v>190000</v>
      </c>
      <c r="U24" s="96">
        <f t="shared" si="325"/>
        <v>190000</v>
      </c>
      <c r="V24" s="96">
        <f t="shared" si="325"/>
        <v>190000</v>
      </c>
      <c r="W24" s="96">
        <f t="shared" si="325"/>
        <v>190000</v>
      </c>
      <c r="X24" s="96">
        <f t="shared" si="325"/>
        <v>190000</v>
      </c>
      <c r="Y24" s="96">
        <f t="shared" si="325"/>
        <v>190000</v>
      </c>
      <c r="Z24" s="96">
        <f t="shared" si="325"/>
        <v>190000</v>
      </c>
      <c r="AA24" s="97">
        <f t="shared" si="325"/>
        <v>260640</v>
      </c>
      <c r="AB24" s="98">
        <f>SUM(P24:AA24)</f>
        <v>2350640</v>
      </c>
      <c r="AC24" s="99">
        <f t="shared" ref="AC24:AN24" si="326">SUM(AC25:AC27)</f>
        <v>190000</v>
      </c>
      <c r="AD24" s="96">
        <f t="shared" si="326"/>
        <v>190000</v>
      </c>
      <c r="AE24" s="96">
        <f t="shared" si="326"/>
        <v>190000</v>
      </c>
      <c r="AF24" s="96">
        <f t="shared" si="326"/>
        <v>190000</v>
      </c>
      <c r="AG24" s="96">
        <f t="shared" si="326"/>
        <v>190000</v>
      </c>
      <c r="AH24" s="96">
        <f t="shared" si="326"/>
        <v>190000</v>
      </c>
      <c r="AI24" s="96">
        <f t="shared" si="326"/>
        <v>190000</v>
      </c>
      <c r="AJ24" s="96">
        <f t="shared" si="326"/>
        <v>190000</v>
      </c>
      <c r="AK24" s="96">
        <f t="shared" si="326"/>
        <v>190000</v>
      </c>
      <c r="AL24" s="96">
        <f t="shared" si="326"/>
        <v>190000</v>
      </c>
      <c r="AM24" s="96">
        <f t="shared" si="326"/>
        <v>190000</v>
      </c>
      <c r="AN24" s="97">
        <f t="shared" si="326"/>
        <v>249120</v>
      </c>
      <c r="AO24" s="98">
        <f>SUM(AC24:AN24)</f>
        <v>2339120</v>
      </c>
      <c r="AP24" s="99">
        <f t="shared" ref="AP24:BA24" si="327">SUM(AP25:AP27)</f>
        <v>190000</v>
      </c>
      <c r="AQ24" s="96">
        <f t="shared" si="327"/>
        <v>190000</v>
      </c>
      <c r="AR24" s="96">
        <f t="shared" si="327"/>
        <v>190000</v>
      </c>
      <c r="AS24" s="96">
        <f t="shared" si="327"/>
        <v>190000</v>
      </c>
      <c r="AT24" s="96">
        <f t="shared" si="327"/>
        <v>190000</v>
      </c>
      <c r="AU24" s="96">
        <f t="shared" si="327"/>
        <v>190000</v>
      </c>
      <c r="AV24" s="96">
        <f t="shared" si="327"/>
        <v>190000</v>
      </c>
      <c r="AW24" s="96">
        <f t="shared" si="327"/>
        <v>190000</v>
      </c>
      <c r="AX24" s="96">
        <f t="shared" si="327"/>
        <v>190000</v>
      </c>
      <c r="AY24" s="96">
        <f t="shared" si="327"/>
        <v>190000</v>
      </c>
      <c r="AZ24" s="96">
        <f t="shared" si="327"/>
        <v>190000</v>
      </c>
      <c r="BA24" s="97">
        <f t="shared" si="327"/>
        <v>250240</v>
      </c>
      <c r="BB24" s="98">
        <f>SUM(AP24:BA24)</f>
        <v>2340240</v>
      </c>
      <c r="BC24" s="99">
        <f t="shared" ref="BC24:BN24" si="328">SUM(BC25:BC27)</f>
        <v>190000</v>
      </c>
      <c r="BD24" s="96">
        <f t="shared" si="328"/>
        <v>190000</v>
      </c>
      <c r="BE24" s="96">
        <f t="shared" si="328"/>
        <v>190000</v>
      </c>
      <c r="BF24" s="96">
        <f t="shared" si="328"/>
        <v>190000</v>
      </c>
      <c r="BG24" s="96">
        <f t="shared" si="328"/>
        <v>190000</v>
      </c>
      <c r="BH24" s="96">
        <f t="shared" si="328"/>
        <v>190000</v>
      </c>
      <c r="BI24" s="96">
        <f t="shared" si="328"/>
        <v>190000</v>
      </c>
      <c r="BJ24" s="96">
        <f t="shared" si="328"/>
        <v>190000</v>
      </c>
      <c r="BK24" s="96">
        <f t="shared" si="328"/>
        <v>190000</v>
      </c>
      <c r="BL24" s="96">
        <f t="shared" si="328"/>
        <v>190000</v>
      </c>
      <c r="BM24" s="96">
        <f t="shared" si="328"/>
        <v>190000</v>
      </c>
      <c r="BN24" s="97">
        <f t="shared" si="328"/>
        <v>250240</v>
      </c>
      <c r="BO24" s="98">
        <f>SUM(BC24:BN24)</f>
        <v>2340240</v>
      </c>
      <c r="BP24" s="99">
        <f t="shared" ref="BP24:CA24" si="329">SUM(BP25:BP27)</f>
        <v>190000</v>
      </c>
      <c r="BQ24" s="96">
        <f t="shared" si="329"/>
        <v>190000</v>
      </c>
      <c r="BR24" s="96">
        <f t="shared" si="329"/>
        <v>190000</v>
      </c>
      <c r="BS24" s="96">
        <f t="shared" si="329"/>
        <v>190000</v>
      </c>
      <c r="BT24" s="96">
        <f t="shared" si="329"/>
        <v>190000</v>
      </c>
      <c r="BU24" s="96">
        <f t="shared" si="329"/>
        <v>190000</v>
      </c>
      <c r="BV24" s="96">
        <f t="shared" si="329"/>
        <v>190000</v>
      </c>
      <c r="BW24" s="96">
        <f t="shared" si="329"/>
        <v>190000</v>
      </c>
      <c r="BX24" s="96">
        <f t="shared" si="329"/>
        <v>190000</v>
      </c>
      <c r="BY24" s="96">
        <f t="shared" si="329"/>
        <v>190000</v>
      </c>
      <c r="BZ24" s="96">
        <f t="shared" si="329"/>
        <v>190000</v>
      </c>
      <c r="CA24" s="97">
        <f t="shared" si="329"/>
        <v>250240</v>
      </c>
      <c r="CB24" s="98">
        <f>SUM(BP24:CA24)</f>
        <v>2340240</v>
      </c>
      <c r="CC24" s="99">
        <f t="shared" ref="CC24:CN24" si="330">SUM(CC25:CC27)</f>
        <v>190000</v>
      </c>
      <c r="CD24" s="96">
        <f t="shared" si="330"/>
        <v>190000</v>
      </c>
      <c r="CE24" s="96">
        <f t="shared" si="330"/>
        <v>190000</v>
      </c>
      <c r="CF24" s="96">
        <f t="shared" si="330"/>
        <v>190000</v>
      </c>
      <c r="CG24" s="96">
        <f t="shared" si="330"/>
        <v>190000</v>
      </c>
      <c r="CH24" s="96">
        <f t="shared" si="330"/>
        <v>190000</v>
      </c>
      <c r="CI24" s="96">
        <f t="shared" si="330"/>
        <v>190000</v>
      </c>
      <c r="CJ24" s="96">
        <f t="shared" si="330"/>
        <v>190000</v>
      </c>
      <c r="CK24" s="96">
        <f t="shared" si="330"/>
        <v>190000</v>
      </c>
      <c r="CL24" s="96">
        <f t="shared" si="330"/>
        <v>190000</v>
      </c>
      <c r="CM24" s="96">
        <f t="shared" si="330"/>
        <v>190000</v>
      </c>
      <c r="CN24" s="97">
        <f t="shared" si="330"/>
        <v>250240</v>
      </c>
      <c r="CO24" s="98">
        <f>SUM(CC24:CN24)</f>
        <v>2340240</v>
      </c>
      <c r="CP24" s="99">
        <f t="shared" ref="CP24:DA24" si="331">SUM(CP25:CP27)</f>
        <v>190000</v>
      </c>
      <c r="CQ24" s="96">
        <f t="shared" si="331"/>
        <v>190000</v>
      </c>
      <c r="CR24" s="96">
        <f t="shared" si="331"/>
        <v>190000</v>
      </c>
      <c r="CS24" s="96">
        <f t="shared" si="331"/>
        <v>190000</v>
      </c>
      <c r="CT24" s="96">
        <f t="shared" si="331"/>
        <v>190000</v>
      </c>
      <c r="CU24" s="96">
        <f t="shared" si="331"/>
        <v>190000</v>
      </c>
      <c r="CV24" s="96">
        <f t="shared" si="331"/>
        <v>190000</v>
      </c>
      <c r="CW24" s="96">
        <f t="shared" si="331"/>
        <v>190000</v>
      </c>
      <c r="CX24" s="96">
        <f t="shared" si="331"/>
        <v>190000</v>
      </c>
      <c r="CY24" s="96">
        <f t="shared" si="331"/>
        <v>190000</v>
      </c>
      <c r="CZ24" s="96">
        <f t="shared" si="331"/>
        <v>190000</v>
      </c>
      <c r="DA24" s="97">
        <f t="shared" si="331"/>
        <v>250240</v>
      </c>
      <c r="DB24" s="98">
        <f>SUM(CP24:DA24)</f>
        <v>2340240</v>
      </c>
      <c r="DC24" s="99">
        <f t="shared" ref="DC24:DN24" si="332">SUM(DC25:DC27)</f>
        <v>190000</v>
      </c>
      <c r="DD24" s="96">
        <f t="shared" si="332"/>
        <v>190000</v>
      </c>
      <c r="DE24" s="96">
        <f t="shared" si="332"/>
        <v>190000</v>
      </c>
      <c r="DF24" s="96">
        <f t="shared" si="332"/>
        <v>190000</v>
      </c>
      <c r="DG24" s="96">
        <f t="shared" si="332"/>
        <v>190000</v>
      </c>
      <c r="DH24" s="96">
        <f t="shared" si="332"/>
        <v>190000</v>
      </c>
      <c r="DI24" s="96">
        <f t="shared" si="332"/>
        <v>190000</v>
      </c>
      <c r="DJ24" s="96">
        <f t="shared" si="332"/>
        <v>190000</v>
      </c>
      <c r="DK24" s="96">
        <f t="shared" si="332"/>
        <v>190000</v>
      </c>
      <c r="DL24" s="96">
        <f t="shared" si="332"/>
        <v>190000</v>
      </c>
      <c r="DM24" s="96">
        <f t="shared" si="332"/>
        <v>190000</v>
      </c>
      <c r="DN24" s="97">
        <f t="shared" si="332"/>
        <v>250240</v>
      </c>
      <c r="DO24" s="98">
        <f>SUM(DC24:DN24)</f>
        <v>2340240</v>
      </c>
      <c r="DP24" s="99">
        <f t="shared" ref="DP24:EA24" si="333">SUM(DP25:DP27)</f>
        <v>190000</v>
      </c>
      <c r="DQ24" s="96">
        <f t="shared" si="333"/>
        <v>190000</v>
      </c>
      <c r="DR24" s="96">
        <f t="shared" si="333"/>
        <v>190000</v>
      </c>
      <c r="DS24" s="96">
        <f t="shared" si="333"/>
        <v>190000</v>
      </c>
      <c r="DT24" s="96">
        <f t="shared" si="333"/>
        <v>190000</v>
      </c>
      <c r="DU24" s="96">
        <f t="shared" si="333"/>
        <v>190000</v>
      </c>
      <c r="DV24" s="96">
        <f t="shared" si="333"/>
        <v>190000</v>
      </c>
      <c r="DW24" s="96">
        <f t="shared" si="333"/>
        <v>190000</v>
      </c>
      <c r="DX24" s="96">
        <f t="shared" si="333"/>
        <v>190000</v>
      </c>
      <c r="DY24" s="96">
        <f t="shared" si="333"/>
        <v>190000</v>
      </c>
      <c r="DZ24" s="96">
        <f t="shared" si="333"/>
        <v>190000</v>
      </c>
      <c r="EA24" s="97">
        <f t="shared" si="333"/>
        <v>250240</v>
      </c>
      <c r="EB24" s="100">
        <f>SUM(DP24:EA24)</f>
        <v>2340240</v>
      </c>
    </row>
    <row r="25" spans="1:132" s="7" customFormat="1" ht="24" customHeight="1">
      <c r="A25" s="183"/>
      <c r="B25" s="184" t="s">
        <v>209</v>
      </c>
      <c r="C25" s="2"/>
      <c r="D25" s="2"/>
      <c r="E25" s="2"/>
      <c r="F25" s="2"/>
      <c r="G25" s="2"/>
      <c r="H25" s="2"/>
      <c r="I25" s="2">
        <f>I23*0.5</f>
        <v>32000</v>
      </c>
      <c r="J25" s="2">
        <f t="shared" ref="J25:N25" si="334">J23*0.5</f>
        <v>80000</v>
      </c>
      <c r="K25" s="2">
        <f t="shared" si="334"/>
        <v>128000</v>
      </c>
      <c r="L25" s="2">
        <f t="shared" si="334"/>
        <v>128000</v>
      </c>
      <c r="M25" s="2">
        <f t="shared" si="334"/>
        <v>160000</v>
      </c>
      <c r="N25" s="3">
        <f t="shared" si="334"/>
        <v>160000</v>
      </c>
      <c r="O25" s="5">
        <f t="shared" si="324"/>
        <v>688000</v>
      </c>
      <c r="P25" s="4">
        <f t="shared" ref="P25:AA25" si="335">P23*0.5</f>
        <v>160000</v>
      </c>
      <c r="Q25" s="2">
        <f t="shared" si="335"/>
        <v>160000</v>
      </c>
      <c r="R25" s="2">
        <f t="shared" si="335"/>
        <v>160000</v>
      </c>
      <c r="S25" s="2">
        <f t="shared" si="335"/>
        <v>160000</v>
      </c>
      <c r="T25" s="2">
        <f t="shared" si="335"/>
        <v>160000</v>
      </c>
      <c r="U25" s="2">
        <f t="shared" si="335"/>
        <v>160000</v>
      </c>
      <c r="V25" s="2">
        <f t="shared" si="335"/>
        <v>160000</v>
      </c>
      <c r="W25" s="2">
        <f t="shared" si="335"/>
        <v>160000</v>
      </c>
      <c r="X25" s="2">
        <f t="shared" si="335"/>
        <v>160000</v>
      </c>
      <c r="Y25" s="2">
        <f t="shared" si="335"/>
        <v>160000</v>
      </c>
      <c r="Z25" s="2">
        <f t="shared" si="335"/>
        <v>160000</v>
      </c>
      <c r="AA25" s="3">
        <f t="shared" si="335"/>
        <v>160000</v>
      </c>
      <c r="AB25" s="5">
        <f>SUM(P25:AA25)</f>
        <v>1920000</v>
      </c>
      <c r="AC25" s="4">
        <f t="shared" ref="AC25:AN25" si="336">AC23*0.5</f>
        <v>160000</v>
      </c>
      <c r="AD25" s="2">
        <f t="shared" si="336"/>
        <v>160000</v>
      </c>
      <c r="AE25" s="2">
        <f t="shared" si="336"/>
        <v>160000</v>
      </c>
      <c r="AF25" s="2">
        <f t="shared" si="336"/>
        <v>160000</v>
      </c>
      <c r="AG25" s="2">
        <f t="shared" si="336"/>
        <v>160000</v>
      </c>
      <c r="AH25" s="2">
        <f t="shared" si="336"/>
        <v>160000</v>
      </c>
      <c r="AI25" s="2">
        <f t="shared" si="336"/>
        <v>160000</v>
      </c>
      <c r="AJ25" s="2">
        <f t="shared" si="336"/>
        <v>160000</v>
      </c>
      <c r="AK25" s="2">
        <f t="shared" si="336"/>
        <v>160000</v>
      </c>
      <c r="AL25" s="2">
        <f t="shared" si="336"/>
        <v>160000</v>
      </c>
      <c r="AM25" s="2">
        <f t="shared" si="336"/>
        <v>160000</v>
      </c>
      <c r="AN25" s="3">
        <f t="shared" si="336"/>
        <v>160000</v>
      </c>
      <c r="AO25" s="5">
        <f>SUM(AC25:AN25)</f>
        <v>1920000</v>
      </c>
      <c r="AP25" s="4">
        <f t="shared" ref="AP25:BA25" si="337">AP23*0.5</f>
        <v>160000</v>
      </c>
      <c r="AQ25" s="2">
        <f t="shared" si="337"/>
        <v>160000</v>
      </c>
      <c r="AR25" s="2">
        <f t="shared" si="337"/>
        <v>160000</v>
      </c>
      <c r="AS25" s="2">
        <f t="shared" si="337"/>
        <v>160000</v>
      </c>
      <c r="AT25" s="2">
        <f t="shared" si="337"/>
        <v>160000</v>
      </c>
      <c r="AU25" s="2">
        <f t="shared" si="337"/>
        <v>160000</v>
      </c>
      <c r="AV25" s="2">
        <f t="shared" si="337"/>
        <v>160000</v>
      </c>
      <c r="AW25" s="2">
        <f t="shared" si="337"/>
        <v>160000</v>
      </c>
      <c r="AX25" s="2">
        <f t="shared" si="337"/>
        <v>160000</v>
      </c>
      <c r="AY25" s="2">
        <f t="shared" si="337"/>
        <v>160000</v>
      </c>
      <c r="AZ25" s="2">
        <f t="shared" si="337"/>
        <v>160000</v>
      </c>
      <c r="BA25" s="3">
        <f t="shared" si="337"/>
        <v>160000</v>
      </c>
      <c r="BB25" s="5">
        <f>SUM(AP25:BA25)</f>
        <v>1920000</v>
      </c>
      <c r="BC25" s="4">
        <f t="shared" ref="BC25:BN25" si="338">BC23*0.5</f>
        <v>160000</v>
      </c>
      <c r="BD25" s="2">
        <f t="shared" si="338"/>
        <v>160000</v>
      </c>
      <c r="BE25" s="2">
        <f t="shared" si="338"/>
        <v>160000</v>
      </c>
      <c r="BF25" s="2">
        <f t="shared" si="338"/>
        <v>160000</v>
      </c>
      <c r="BG25" s="2">
        <f t="shared" si="338"/>
        <v>160000</v>
      </c>
      <c r="BH25" s="2">
        <f t="shared" si="338"/>
        <v>160000</v>
      </c>
      <c r="BI25" s="2">
        <f t="shared" si="338"/>
        <v>160000</v>
      </c>
      <c r="BJ25" s="2">
        <f t="shared" si="338"/>
        <v>160000</v>
      </c>
      <c r="BK25" s="2">
        <f t="shared" si="338"/>
        <v>160000</v>
      </c>
      <c r="BL25" s="2">
        <f t="shared" si="338"/>
        <v>160000</v>
      </c>
      <c r="BM25" s="2">
        <f t="shared" si="338"/>
        <v>160000</v>
      </c>
      <c r="BN25" s="3">
        <f t="shared" si="338"/>
        <v>160000</v>
      </c>
      <c r="BO25" s="5">
        <f>SUM(BC25:BN25)</f>
        <v>1920000</v>
      </c>
      <c r="BP25" s="4">
        <f t="shared" ref="BP25:CA25" si="339">BP23*0.5</f>
        <v>160000</v>
      </c>
      <c r="BQ25" s="2">
        <f t="shared" si="339"/>
        <v>160000</v>
      </c>
      <c r="BR25" s="2">
        <f t="shared" si="339"/>
        <v>160000</v>
      </c>
      <c r="BS25" s="2">
        <f t="shared" si="339"/>
        <v>160000</v>
      </c>
      <c r="BT25" s="2">
        <f t="shared" si="339"/>
        <v>160000</v>
      </c>
      <c r="BU25" s="2">
        <f t="shared" si="339"/>
        <v>160000</v>
      </c>
      <c r="BV25" s="2">
        <f t="shared" si="339"/>
        <v>160000</v>
      </c>
      <c r="BW25" s="2">
        <f t="shared" si="339"/>
        <v>160000</v>
      </c>
      <c r="BX25" s="2">
        <f t="shared" si="339"/>
        <v>160000</v>
      </c>
      <c r="BY25" s="2">
        <f t="shared" si="339"/>
        <v>160000</v>
      </c>
      <c r="BZ25" s="2">
        <f t="shared" si="339"/>
        <v>160000</v>
      </c>
      <c r="CA25" s="3">
        <f t="shared" si="339"/>
        <v>160000</v>
      </c>
      <c r="CB25" s="5">
        <f>SUM(BP25:CA25)</f>
        <v>1920000</v>
      </c>
      <c r="CC25" s="4">
        <f t="shared" ref="CC25:CN25" si="340">CC23*0.5</f>
        <v>160000</v>
      </c>
      <c r="CD25" s="2">
        <f t="shared" si="340"/>
        <v>160000</v>
      </c>
      <c r="CE25" s="2">
        <f t="shared" si="340"/>
        <v>160000</v>
      </c>
      <c r="CF25" s="2">
        <f t="shared" si="340"/>
        <v>160000</v>
      </c>
      <c r="CG25" s="2">
        <f t="shared" si="340"/>
        <v>160000</v>
      </c>
      <c r="CH25" s="2">
        <f t="shared" si="340"/>
        <v>160000</v>
      </c>
      <c r="CI25" s="2">
        <f t="shared" si="340"/>
        <v>160000</v>
      </c>
      <c r="CJ25" s="2">
        <f t="shared" si="340"/>
        <v>160000</v>
      </c>
      <c r="CK25" s="2">
        <f t="shared" si="340"/>
        <v>160000</v>
      </c>
      <c r="CL25" s="2">
        <f t="shared" si="340"/>
        <v>160000</v>
      </c>
      <c r="CM25" s="2">
        <f t="shared" si="340"/>
        <v>160000</v>
      </c>
      <c r="CN25" s="3">
        <f t="shared" si="340"/>
        <v>160000</v>
      </c>
      <c r="CO25" s="5">
        <f>SUM(CC25:CN25)</f>
        <v>1920000</v>
      </c>
      <c r="CP25" s="4">
        <f t="shared" ref="CP25:DA25" si="341">CP23*0.5</f>
        <v>160000</v>
      </c>
      <c r="CQ25" s="2">
        <f t="shared" si="341"/>
        <v>160000</v>
      </c>
      <c r="CR25" s="2">
        <f t="shared" si="341"/>
        <v>160000</v>
      </c>
      <c r="CS25" s="2">
        <f t="shared" si="341"/>
        <v>160000</v>
      </c>
      <c r="CT25" s="2">
        <f t="shared" si="341"/>
        <v>160000</v>
      </c>
      <c r="CU25" s="2">
        <f t="shared" si="341"/>
        <v>160000</v>
      </c>
      <c r="CV25" s="2">
        <f t="shared" si="341"/>
        <v>160000</v>
      </c>
      <c r="CW25" s="2">
        <f t="shared" si="341"/>
        <v>160000</v>
      </c>
      <c r="CX25" s="2">
        <f t="shared" si="341"/>
        <v>160000</v>
      </c>
      <c r="CY25" s="2">
        <f t="shared" si="341"/>
        <v>160000</v>
      </c>
      <c r="CZ25" s="2">
        <f t="shared" si="341"/>
        <v>160000</v>
      </c>
      <c r="DA25" s="3">
        <f t="shared" si="341"/>
        <v>160000</v>
      </c>
      <c r="DB25" s="5">
        <f>SUM(CP25:DA25)</f>
        <v>1920000</v>
      </c>
      <c r="DC25" s="4">
        <f t="shared" ref="DC25:DN25" si="342">DC23*0.5</f>
        <v>160000</v>
      </c>
      <c r="DD25" s="2">
        <f t="shared" si="342"/>
        <v>160000</v>
      </c>
      <c r="DE25" s="2">
        <f t="shared" si="342"/>
        <v>160000</v>
      </c>
      <c r="DF25" s="2">
        <f t="shared" si="342"/>
        <v>160000</v>
      </c>
      <c r="DG25" s="2">
        <f t="shared" si="342"/>
        <v>160000</v>
      </c>
      <c r="DH25" s="2">
        <f t="shared" si="342"/>
        <v>160000</v>
      </c>
      <c r="DI25" s="2">
        <f t="shared" si="342"/>
        <v>160000</v>
      </c>
      <c r="DJ25" s="2">
        <f t="shared" si="342"/>
        <v>160000</v>
      </c>
      <c r="DK25" s="2">
        <f t="shared" si="342"/>
        <v>160000</v>
      </c>
      <c r="DL25" s="2">
        <f t="shared" si="342"/>
        <v>160000</v>
      </c>
      <c r="DM25" s="2">
        <f t="shared" si="342"/>
        <v>160000</v>
      </c>
      <c r="DN25" s="3">
        <f t="shared" si="342"/>
        <v>160000</v>
      </c>
      <c r="DO25" s="5">
        <f>SUM(DC25:DN25)</f>
        <v>1920000</v>
      </c>
      <c r="DP25" s="4">
        <f t="shared" ref="DP25:EA25" si="343">DP23*0.5</f>
        <v>160000</v>
      </c>
      <c r="DQ25" s="2">
        <f t="shared" si="343"/>
        <v>160000</v>
      </c>
      <c r="DR25" s="2">
        <f t="shared" si="343"/>
        <v>160000</v>
      </c>
      <c r="DS25" s="2">
        <f t="shared" si="343"/>
        <v>160000</v>
      </c>
      <c r="DT25" s="2">
        <f t="shared" si="343"/>
        <v>160000</v>
      </c>
      <c r="DU25" s="2">
        <f t="shared" si="343"/>
        <v>160000</v>
      </c>
      <c r="DV25" s="2">
        <f t="shared" si="343"/>
        <v>160000</v>
      </c>
      <c r="DW25" s="2">
        <f t="shared" si="343"/>
        <v>160000</v>
      </c>
      <c r="DX25" s="2">
        <f t="shared" si="343"/>
        <v>160000</v>
      </c>
      <c r="DY25" s="2">
        <f t="shared" si="343"/>
        <v>160000</v>
      </c>
      <c r="DZ25" s="2">
        <f t="shared" si="343"/>
        <v>160000</v>
      </c>
      <c r="EA25" s="3">
        <f t="shared" si="343"/>
        <v>160000</v>
      </c>
      <c r="EB25" s="6">
        <f>SUM(DP25:EA25)</f>
        <v>1920000</v>
      </c>
    </row>
    <row r="26" spans="1:132" s="7" customFormat="1" ht="24" customHeight="1">
      <c r="A26" s="183"/>
      <c r="B26" s="184" t="s">
        <v>208</v>
      </c>
      <c r="C26" s="2"/>
      <c r="D26" s="2"/>
      <c r="E26" s="177">
        <v>30000</v>
      </c>
      <c r="F26" s="177">
        <f>$E$26</f>
        <v>30000</v>
      </c>
      <c r="G26" s="177">
        <f t="shared" ref="G26:N26" si="344">$E$26</f>
        <v>30000</v>
      </c>
      <c r="H26" s="177">
        <f t="shared" si="344"/>
        <v>30000</v>
      </c>
      <c r="I26" s="177">
        <f t="shared" si="344"/>
        <v>30000</v>
      </c>
      <c r="J26" s="177">
        <f t="shared" si="344"/>
        <v>30000</v>
      </c>
      <c r="K26" s="177">
        <f t="shared" si="344"/>
        <v>30000</v>
      </c>
      <c r="L26" s="177">
        <f t="shared" si="344"/>
        <v>30000</v>
      </c>
      <c r="M26" s="177">
        <f t="shared" si="344"/>
        <v>30000</v>
      </c>
      <c r="N26" s="177">
        <f t="shared" si="344"/>
        <v>30000</v>
      </c>
      <c r="O26" s="179">
        <f>SUM(C26:N26)</f>
        <v>300000</v>
      </c>
      <c r="P26" s="177">
        <f>$E$26</f>
        <v>30000</v>
      </c>
      <c r="Q26" s="177">
        <f t="shared" ref="Q26:AA26" si="345">$E$26</f>
        <v>30000</v>
      </c>
      <c r="R26" s="177">
        <f t="shared" si="345"/>
        <v>30000</v>
      </c>
      <c r="S26" s="177">
        <f t="shared" si="345"/>
        <v>30000</v>
      </c>
      <c r="T26" s="177">
        <f t="shared" si="345"/>
        <v>30000</v>
      </c>
      <c r="U26" s="177">
        <f t="shared" si="345"/>
        <v>30000</v>
      </c>
      <c r="V26" s="177">
        <f t="shared" si="345"/>
        <v>30000</v>
      </c>
      <c r="W26" s="177">
        <f t="shared" si="345"/>
        <v>30000</v>
      </c>
      <c r="X26" s="177">
        <f t="shared" si="345"/>
        <v>30000</v>
      </c>
      <c r="Y26" s="177">
        <f t="shared" si="345"/>
        <v>30000</v>
      </c>
      <c r="Z26" s="177">
        <f t="shared" si="345"/>
        <v>30000</v>
      </c>
      <c r="AA26" s="177">
        <f t="shared" si="345"/>
        <v>30000</v>
      </c>
      <c r="AB26" s="179">
        <f>SUM(P26:AA26)</f>
        <v>360000</v>
      </c>
      <c r="AC26" s="177">
        <f>$E$26</f>
        <v>30000</v>
      </c>
      <c r="AD26" s="177">
        <f t="shared" ref="AD26:AN26" si="346">$E$26</f>
        <v>30000</v>
      </c>
      <c r="AE26" s="177">
        <f t="shared" si="346"/>
        <v>30000</v>
      </c>
      <c r="AF26" s="177">
        <f t="shared" si="346"/>
        <v>30000</v>
      </c>
      <c r="AG26" s="177">
        <f t="shared" si="346"/>
        <v>30000</v>
      </c>
      <c r="AH26" s="177">
        <f t="shared" si="346"/>
        <v>30000</v>
      </c>
      <c r="AI26" s="177">
        <f t="shared" si="346"/>
        <v>30000</v>
      </c>
      <c r="AJ26" s="177">
        <f t="shared" si="346"/>
        <v>30000</v>
      </c>
      <c r="AK26" s="177">
        <f t="shared" si="346"/>
        <v>30000</v>
      </c>
      <c r="AL26" s="177">
        <f t="shared" si="346"/>
        <v>30000</v>
      </c>
      <c r="AM26" s="177">
        <f t="shared" si="346"/>
        <v>30000</v>
      </c>
      <c r="AN26" s="177">
        <f t="shared" si="346"/>
        <v>30000</v>
      </c>
      <c r="AO26" s="179">
        <f>SUM(AC26:AN26)</f>
        <v>360000</v>
      </c>
      <c r="AP26" s="177">
        <f>$E$26</f>
        <v>30000</v>
      </c>
      <c r="AQ26" s="177">
        <f t="shared" ref="AQ26:BA26" si="347">$E$26</f>
        <v>30000</v>
      </c>
      <c r="AR26" s="177">
        <f t="shared" si="347"/>
        <v>30000</v>
      </c>
      <c r="AS26" s="177">
        <f t="shared" si="347"/>
        <v>30000</v>
      </c>
      <c r="AT26" s="177">
        <f t="shared" si="347"/>
        <v>30000</v>
      </c>
      <c r="AU26" s="177">
        <f t="shared" si="347"/>
        <v>30000</v>
      </c>
      <c r="AV26" s="177">
        <f t="shared" si="347"/>
        <v>30000</v>
      </c>
      <c r="AW26" s="177">
        <f t="shared" si="347"/>
        <v>30000</v>
      </c>
      <c r="AX26" s="177">
        <f t="shared" si="347"/>
        <v>30000</v>
      </c>
      <c r="AY26" s="177">
        <f t="shared" si="347"/>
        <v>30000</v>
      </c>
      <c r="AZ26" s="177">
        <f t="shared" si="347"/>
        <v>30000</v>
      </c>
      <c r="BA26" s="177">
        <f t="shared" si="347"/>
        <v>30000</v>
      </c>
      <c r="BB26" s="179">
        <f>SUM(AP26:BA26)</f>
        <v>360000</v>
      </c>
      <c r="BC26" s="177">
        <f>$E$26</f>
        <v>30000</v>
      </c>
      <c r="BD26" s="177">
        <f t="shared" ref="BD26:BN26" si="348">$E$26</f>
        <v>30000</v>
      </c>
      <c r="BE26" s="177">
        <f t="shared" si="348"/>
        <v>30000</v>
      </c>
      <c r="BF26" s="177">
        <f t="shared" si="348"/>
        <v>30000</v>
      </c>
      <c r="BG26" s="177">
        <f t="shared" si="348"/>
        <v>30000</v>
      </c>
      <c r="BH26" s="177">
        <f t="shared" si="348"/>
        <v>30000</v>
      </c>
      <c r="BI26" s="177">
        <f t="shared" si="348"/>
        <v>30000</v>
      </c>
      <c r="BJ26" s="177">
        <f t="shared" si="348"/>
        <v>30000</v>
      </c>
      <c r="BK26" s="177">
        <f t="shared" si="348"/>
        <v>30000</v>
      </c>
      <c r="BL26" s="177">
        <f t="shared" si="348"/>
        <v>30000</v>
      </c>
      <c r="BM26" s="177">
        <f t="shared" si="348"/>
        <v>30000</v>
      </c>
      <c r="BN26" s="177">
        <f t="shared" si="348"/>
        <v>30000</v>
      </c>
      <c r="BO26" s="179">
        <f>SUM(BC26:BN26)</f>
        <v>360000</v>
      </c>
      <c r="BP26" s="177">
        <f>$E$26</f>
        <v>30000</v>
      </c>
      <c r="BQ26" s="177">
        <f t="shared" ref="BQ26:CA26" si="349">$E$26</f>
        <v>30000</v>
      </c>
      <c r="BR26" s="177">
        <f t="shared" si="349"/>
        <v>30000</v>
      </c>
      <c r="BS26" s="177">
        <f t="shared" si="349"/>
        <v>30000</v>
      </c>
      <c r="BT26" s="177">
        <f t="shared" si="349"/>
        <v>30000</v>
      </c>
      <c r="BU26" s="177">
        <f t="shared" si="349"/>
        <v>30000</v>
      </c>
      <c r="BV26" s="177">
        <f t="shared" si="349"/>
        <v>30000</v>
      </c>
      <c r="BW26" s="177">
        <f t="shared" si="349"/>
        <v>30000</v>
      </c>
      <c r="BX26" s="177">
        <f t="shared" si="349"/>
        <v>30000</v>
      </c>
      <c r="BY26" s="177">
        <f t="shared" si="349"/>
        <v>30000</v>
      </c>
      <c r="BZ26" s="177">
        <f t="shared" si="349"/>
        <v>30000</v>
      </c>
      <c r="CA26" s="177">
        <f t="shared" si="349"/>
        <v>30000</v>
      </c>
      <c r="CB26" s="179">
        <f>SUM(BP26:CA26)</f>
        <v>360000</v>
      </c>
      <c r="CC26" s="177">
        <f>$E$26</f>
        <v>30000</v>
      </c>
      <c r="CD26" s="177">
        <f t="shared" ref="CD26:CN26" si="350">$E$26</f>
        <v>30000</v>
      </c>
      <c r="CE26" s="177">
        <f t="shared" si="350"/>
        <v>30000</v>
      </c>
      <c r="CF26" s="177">
        <f t="shared" si="350"/>
        <v>30000</v>
      </c>
      <c r="CG26" s="177">
        <f t="shared" si="350"/>
        <v>30000</v>
      </c>
      <c r="CH26" s="177">
        <f t="shared" si="350"/>
        <v>30000</v>
      </c>
      <c r="CI26" s="177">
        <f t="shared" si="350"/>
        <v>30000</v>
      </c>
      <c r="CJ26" s="177">
        <f t="shared" si="350"/>
        <v>30000</v>
      </c>
      <c r="CK26" s="177">
        <f t="shared" si="350"/>
        <v>30000</v>
      </c>
      <c r="CL26" s="177">
        <f t="shared" si="350"/>
        <v>30000</v>
      </c>
      <c r="CM26" s="177">
        <f t="shared" si="350"/>
        <v>30000</v>
      </c>
      <c r="CN26" s="177">
        <f t="shared" si="350"/>
        <v>30000</v>
      </c>
      <c r="CO26" s="179">
        <f>SUM(CC26:CN26)</f>
        <v>360000</v>
      </c>
      <c r="CP26" s="177">
        <f>$E$26</f>
        <v>30000</v>
      </c>
      <c r="CQ26" s="177">
        <f t="shared" ref="CQ26:DA26" si="351">$E$26</f>
        <v>30000</v>
      </c>
      <c r="CR26" s="177">
        <f t="shared" si="351"/>
        <v>30000</v>
      </c>
      <c r="CS26" s="177">
        <f t="shared" si="351"/>
        <v>30000</v>
      </c>
      <c r="CT26" s="177">
        <f t="shared" si="351"/>
        <v>30000</v>
      </c>
      <c r="CU26" s="177">
        <f t="shared" si="351"/>
        <v>30000</v>
      </c>
      <c r="CV26" s="177">
        <f t="shared" si="351"/>
        <v>30000</v>
      </c>
      <c r="CW26" s="177">
        <f t="shared" si="351"/>
        <v>30000</v>
      </c>
      <c r="CX26" s="177">
        <f t="shared" si="351"/>
        <v>30000</v>
      </c>
      <c r="CY26" s="177">
        <f t="shared" si="351"/>
        <v>30000</v>
      </c>
      <c r="CZ26" s="177">
        <f t="shared" si="351"/>
        <v>30000</v>
      </c>
      <c r="DA26" s="177">
        <f t="shared" si="351"/>
        <v>30000</v>
      </c>
      <c r="DB26" s="179">
        <f>SUM(CP26:DA26)</f>
        <v>360000</v>
      </c>
      <c r="DC26" s="177">
        <f>$E$26</f>
        <v>30000</v>
      </c>
      <c r="DD26" s="177">
        <f t="shared" ref="DD26:DN26" si="352">$E$26</f>
        <v>30000</v>
      </c>
      <c r="DE26" s="177">
        <f t="shared" si="352"/>
        <v>30000</v>
      </c>
      <c r="DF26" s="177">
        <f t="shared" si="352"/>
        <v>30000</v>
      </c>
      <c r="DG26" s="177">
        <f t="shared" si="352"/>
        <v>30000</v>
      </c>
      <c r="DH26" s="177">
        <f t="shared" si="352"/>
        <v>30000</v>
      </c>
      <c r="DI26" s="177">
        <f t="shared" si="352"/>
        <v>30000</v>
      </c>
      <c r="DJ26" s="177">
        <f t="shared" si="352"/>
        <v>30000</v>
      </c>
      <c r="DK26" s="177">
        <f t="shared" si="352"/>
        <v>30000</v>
      </c>
      <c r="DL26" s="177">
        <f t="shared" si="352"/>
        <v>30000</v>
      </c>
      <c r="DM26" s="177">
        <f t="shared" si="352"/>
        <v>30000</v>
      </c>
      <c r="DN26" s="177">
        <f t="shared" si="352"/>
        <v>30000</v>
      </c>
      <c r="DO26" s="179">
        <f>SUM(DC26:DN26)</f>
        <v>360000</v>
      </c>
      <c r="DP26" s="177">
        <f>$E$26</f>
        <v>30000</v>
      </c>
      <c r="DQ26" s="177">
        <f t="shared" ref="DQ26:EA26" si="353">$E$26</f>
        <v>30000</v>
      </c>
      <c r="DR26" s="177">
        <f t="shared" si="353"/>
        <v>30000</v>
      </c>
      <c r="DS26" s="177">
        <f t="shared" si="353"/>
        <v>30000</v>
      </c>
      <c r="DT26" s="177">
        <f t="shared" si="353"/>
        <v>30000</v>
      </c>
      <c r="DU26" s="177">
        <f t="shared" si="353"/>
        <v>30000</v>
      </c>
      <c r="DV26" s="177">
        <f t="shared" si="353"/>
        <v>30000</v>
      </c>
      <c r="DW26" s="177">
        <f t="shared" si="353"/>
        <v>30000</v>
      </c>
      <c r="DX26" s="177">
        <f t="shared" si="353"/>
        <v>30000</v>
      </c>
      <c r="DY26" s="177">
        <f t="shared" si="353"/>
        <v>30000</v>
      </c>
      <c r="DZ26" s="177">
        <f t="shared" si="353"/>
        <v>30000</v>
      </c>
      <c r="EA26" s="177">
        <f t="shared" si="353"/>
        <v>30000</v>
      </c>
      <c r="EB26" s="181">
        <f>SUM(DP26:EA26)</f>
        <v>360000</v>
      </c>
    </row>
    <row r="27" spans="1:132" s="7" customFormat="1" ht="24" customHeight="1">
      <c r="A27" s="183"/>
      <c r="B27" s="184" t="s">
        <v>207</v>
      </c>
      <c r="C27" s="2"/>
      <c r="D27" s="2"/>
      <c r="E27" s="2"/>
      <c r="F27" s="2"/>
      <c r="G27" s="2"/>
      <c r="H27" s="2"/>
      <c r="I27" s="2"/>
      <c r="J27" s="2"/>
      <c r="K27" s="2"/>
      <c r="L27" s="2"/>
      <c r="M27" s="2"/>
      <c r="N27" s="3">
        <f>SUM(F6:N6)*100</f>
        <v>48720.000000000007</v>
      </c>
      <c r="O27" s="5">
        <f t="shared" si="324"/>
        <v>48720.000000000007</v>
      </c>
      <c r="P27" s="4"/>
      <c r="Q27" s="2"/>
      <c r="R27" s="2"/>
      <c r="S27" s="2"/>
      <c r="T27" s="2"/>
      <c r="U27" s="2"/>
      <c r="V27" s="2"/>
      <c r="W27" s="2"/>
      <c r="X27" s="2"/>
      <c r="Y27" s="2"/>
      <c r="Z27" s="2"/>
      <c r="AA27" s="3">
        <f>SUM(P6:AA6)*100</f>
        <v>70640.000000000015</v>
      </c>
      <c r="AB27" s="5">
        <f>SUM(P27:AA27)</f>
        <v>70640.000000000015</v>
      </c>
      <c r="AC27" s="4"/>
      <c r="AD27" s="2"/>
      <c r="AE27" s="2"/>
      <c r="AF27" s="2"/>
      <c r="AG27" s="2"/>
      <c r="AH27" s="2"/>
      <c r="AI27" s="2"/>
      <c r="AJ27" s="2"/>
      <c r="AK27" s="2"/>
      <c r="AL27" s="2"/>
      <c r="AM27" s="2"/>
      <c r="AN27" s="3">
        <f>SUM(AC6:AN6)*100</f>
        <v>59120.000000000007</v>
      </c>
      <c r="AO27" s="5">
        <f>SUM(AC27:AN27)</f>
        <v>59120.000000000007</v>
      </c>
      <c r="AP27" s="4"/>
      <c r="AQ27" s="2"/>
      <c r="AR27" s="2"/>
      <c r="AS27" s="2"/>
      <c r="AT27" s="2"/>
      <c r="AU27" s="2"/>
      <c r="AV27" s="2"/>
      <c r="AW27" s="2"/>
      <c r="AX27" s="2"/>
      <c r="AY27" s="2"/>
      <c r="AZ27" s="2"/>
      <c r="BA27" s="3">
        <f>SUM(AP6:BA6)*100</f>
        <v>60240</v>
      </c>
      <c r="BB27" s="5">
        <f>SUM(AP27:BA27)</f>
        <v>60240</v>
      </c>
      <c r="BC27" s="4"/>
      <c r="BD27" s="2"/>
      <c r="BE27" s="2"/>
      <c r="BF27" s="2"/>
      <c r="BG27" s="2"/>
      <c r="BH27" s="2"/>
      <c r="BI27" s="2"/>
      <c r="BJ27" s="2"/>
      <c r="BK27" s="2"/>
      <c r="BL27" s="2"/>
      <c r="BM27" s="2"/>
      <c r="BN27" s="3">
        <f>SUM(BC6:BN6)*100</f>
        <v>60240</v>
      </c>
      <c r="BO27" s="5">
        <f>SUM(BC27:BN27)</f>
        <v>60240</v>
      </c>
      <c r="BP27" s="4"/>
      <c r="BQ27" s="2"/>
      <c r="BR27" s="2"/>
      <c r="BS27" s="2"/>
      <c r="BT27" s="2"/>
      <c r="BU27" s="2"/>
      <c r="BV27" s="2"/>
      <c r="BW27" s="2"/>
      <c r="BX27" s="2"/>
      <c r="BY27" s="2"/>
      <c r="BZ27" s="2"/>
      <c r="CA27" s="3">
        <f>SUM(BP6:CA6)*100</f>
        <v>60240</v>
      </c>
      <c r="CB27" s="5">
        <f>SUM(BP27:CA27)</f>
        <v>60240</v>
      </c>
      <c r="CC27" s="4"/>
      <c r="CD27" s="2"/>
      <c r="CE27" s="2"/>
      <c r="CF27" s="2"/>
      <c r="CG27" s="2"/>
      <c r="CH27" s="2"/>
      <c r="CI27" s="2"/>
      <c r="CJ27" s="2"/>
      <c r="CK27" s="2"/>
      <c r="CL27" s="2"/>
      <c r="CM27" s="2"/>
      <c r="CN27" s="3">
        <f>SUM(CC6:CN6)*100</f>
        <v>60240</v>
      </c>
      <c r="CO27" s="5">
        <f>SUM(CC27:CN27)</f>
        <v>60240</v>
      </c>
      <c r="CP27" s="4"/>
      <c r="CQ27" s="2"/>
      <c r="CR27" s="2"/>
      <c r="CS27" s="2"/>
      <c r="CT27" s="2"/>
      <c r="CU27" s="2"/>
      <c r="CV27" s="2"/>
      <c r="CW27" s="2"/>
      <c r="CX27" s="2"/>
      <c r="CY27" s="2"/>
      <c r="CZ27" s="2"/>
      <c r="DA27" s="3">
        <f>SUM(CP6:DA6)*100</f>
        <v>60240</v>
      </c>
      <c r="DB27" s="5">
        <f>SUM(CP27:DA27)</f>
        <v>60240</v>
      </c>
      <c r="DC27" s="4"/>
      <c r="DD27" s="2"/>
      <c r="DE27" s="2"/>
      <c r="DF27" s="2"/>
      <c r="DG27" s="2"/>
      <c r="DH27" s="2"/>
      <c r="DI27" s="2"/>
      <c r="DJ27" s="2"/>
      <c r="DK27" s="2"/>
      <c r="DL27" s="2"/>
      <c r="DM27" s="2"/>
      <c r="DN27" s="3">
        <f>SUM(DC6:DN6)*100</f>
        <v>60240</v>
      </c>
      <c r="DO27" s="5">
        <f>SUM(DC27:DN27)</f>
        <v>60240</v>
      </c>
      <c r="DP27" s="4"/>
      <c r="DQ27" s="2"/>
      <c r="DR27" s="2"/>
      <c r="DS27" s="2"/>
      <c r="DT27" s="2"/>
      <c r="DU27" s="2"/>
      <c r="DV27" s="2"/>
      <c r="DW27" s="2"/>
      <c r="DX27" s="2"/>
      <c r="DY27" s="2"/>
      <c r="DZ27" s="2"/>
      <c r="EA27" s="3">
        <f>SUM(DP6:EA6)*100</f>
        <v>60240</v>
      </c>
      <c r="EB27" s="6">
        <f>SUM(DP27:EA27)</f>
        <v>60240</v>
      </c>
    </row>
    <row r="28" spans="1:132" s="107" customFormat="1" ht="36" customHeight="1">
      <c r="A28" s="383" t="s">
        <v>135</v>
      </c>
      <c r="B28" s="384"/>
      <c r="C28" s="101"/>
      <c r="D28" s="101"/>
      <c r="E28" s="101">
        <f>E13-E24</f>
        <v>-30000</v>
      </c>
      <c r="F28" s="101">
        <f>F13-F24</f>
        <v>-30000</v>
      </c>
      <c r="G28" s="101">
        <f>G13-G24</f>
        <v>3179520</v>
      </c>
      <c r="H28" s="101">
        <f t="shared" ref="H28:N28" si="354">H13-H24</f>
        <v>3351200</v>
      </c>
      <c r="I28" s="101">
        <f t="shared" si="354"/>
        <v>3690393.6000000001</v>
      </c>
      <c r="J28" s="101">
        <f t="shared" si="354"/>
        <v>3971936.8703999994</v>
      </c>
      <c r="K28" s="101">
        <f t="shared" si="354"/>
        <v>4295523.916825599</v>
      </c>
      <c r="L28" s="101">
        <f t="shared" si="354"/>
        <v>4485126.3211999992</v>
      </c>
      <c r="M28" s="101">
        <f t="shared" si="354"/>
        <v>4516406.9396667993</v>
      </c>
      <c r="N28" s="102">
        <f t="shared" si="354"/>
        <v>4556369.2215024596</v>
      </c>
      <c r="O28" s="103">
        <f t="shared" si="324"/>
        <v>31986476.869594857</v>
      </c>
      <c r="P28" s="104">
        <f>P13-P24</f>
        <v>4768490.1560918447</v>
      </c>
      <c r="Q28" s="104">
        <f t="shared" ref="Q28:AA28" si="355">Q13-Q24</f>
        <v>4840246.4947555279</v>
      </c>
      <c r="R28" s="104">
        <f t="shared" si="355"/>
        <v>4449746.8295020182</v>
      </c>
      <c r="S28" s="104">
        <f t="shared" si="355"/>
        <v>4957075.1125154234</v>
      </c>
      <c r="T28" s="104">
        <f t="shared" si="355"/>
        <v>4764266.3262271993</v>
      </c>
      <c r="U28" s="104">
        <f t="shared" si="355"/>
        <v>4807522.6641567936</v>
      </c>
      <c r="V28" s="104">
        <f t="shared" si="355"/>
        <v>5152643.2855829922</v>
      </c>
      <c r="W28" s="104">
        <f t="shared" si="355"/>
        <v>5179089.7080164207</v>
      </c>
      <c r="X28" s="104">
        <f t="shared" si="355"/>
        <v>5315139.5008198125</v>
      </c>
      <c r="Y28" s="104">
        <f t="shared" si="355"/>
        <v>5404324.28328948</v>
      </c>
      <c r="Z28" s="104">
        <f t="shared" si="355"/>
        <v>5308813.900807769</v>
      </c>
      <c r="AA28" s="105">
        <f t="shared" si="355"/>
        <v>5320947.9464778826</v>
      </c>
      <c r="AB28" s="103">
        <f>SUM(P28:AA28)</f>
        <v>60268306.208243154</v>
      </c>
      <c r="AC28" s="104">
        <f t="shared" ref="AC28:AN28" si="356">AC13-AC24</f>
        <v>5545385.1924582003</v>
      </c>
      <c r="AD28" s="101">
        <f t="shared" si="356"/>
        <v>5588733.3163372474</v>
      </c>
      <c r="AE28" s="101">
        <f t="shared" si="356"/>
        <v>5562150.58363277</v>
      </c>
      <c r="AF28" s="101">
        <f t="shared" si="356"/>
        <v>5875690.3560383571</v>
      </c>
      <c r="AG28" s="101">
        <f t="shared" si="356"/>
        <v>5738285.3244959209</v>
      </c>
      <c r="AH28" s="101">
        <f t="shared" si="356"/>
        <v>5875065.5930895703</v>
      </c>
      <c r="AI28" s="101">
        <f t="shared" si="356"/>
        <v>5901869.2845452568</v>
      </c>
      <c r="AJ28" s="101">
        <f t="shared" si="356"/>
        <v>5916665.6522170827</v>
      </c>
      <c r="AK28" s="101">
        <f t="shared" si="356"/>
        <v>5908492.7030850518</v>
      </c>
      <c r="AL28" s="101">
        <f t="shared" si="356"/>
        <v>5954468.5770709049</v>
      </c>
      <c r="AM28" s="101">
        <f t="shared" si="356"/>
        <v>5891771.0861192811</v>
      </c>
      <c r="AN28" s="102">
        <f t="shared" si="356"/>
        <v>5800856.5383328665</v>
      </c>
      <c r="AO28" s="103">
        <f>SUM(AC28:AN28)</f>
        <v>69559434.20742251</v>
      </c>
      <c r="AP28" s="104">
        <f t="shared" ref="AP28:BA28" si="357">AP13-AP24</f>
        <v>5785029.0824788138</v>
      </c>
      <c r="AQ28" s="101">
        <f t="shared" si="357"/>
        <v>5887357.4428908136</v>
      </c>
      <c r="AR28" s="101">
        <f t="shared" si="357"/>
        <v>5769799.6143038515</v>
      </c>
      <c r="AS28" s="101">
        <f t="shared" si="357"/>
        <v>5809873.4877746105</v>
      </c>
      <c r="AT28" s="101">
        <f t="shared" si="357"/>
        <v>5828305.3239269499</v>
      </c>
      <c r="AU28" s="101">
        <f t="shared" si="357"/>
        <v>5839188.1725416528</v>
      </c>
      <c r="AV28" s="101">
        <f t="shared" si="357"/>
        <v>5857876.7061576117</v>
      </c>
      <c r="AW28" s="101">
        <f t="shared" si="357"/>
        <v>5917324.3176297806</v>
      </c>
      <c r="AX28" s="101">
        <f t="shared" si="357"/>
        <v>5956065.554677479</v>
      </c>
      <c r="AY28" s="101">
        <f t="shared" si="357"/>
        <v>5943233.4299544115</v>
      </c>
      <c r="AZ28" s="101">
        <f t="shared" si="357"/>
        <v>5944376.573846098</v>
      </c>
      <c r="BA28" s="102">
        <f t="shared" si="357"/>
        <v>5829244.1590137919</v>
      </c>
      <c r="BB28" s="103">
        <f>SUM(AP28:BA28)</f>
        <v>70367673.865195855</v>
      </c>
      <c r="BC28" s="104">
        <f t="shared" ref="BC28:BN28" si="358">BC13-BC24</f>
        <v>6035056.2013726328</v>
      </c>
      <c r="BD28" s="101">
        <f t="shared" si="358"/>
        <v>6041356.1563900625</v>
      </c>
      <c r="BE28" s="101">
        <f t="shared" si="358"/>
        <v>5989488.7210036302</v>
      </c>
      <c r="BF28" s="101">
        <f t="shared" si="358"/>
        <v>6021434.0975264944</v>
      </c>
      <c r="BG28" s="101">
        <f t="shared" si="358"/>
        <v>6032038.1911180168</v>
      </c>
      <c r="BH28" s="101">
        <f t="shared" si="358"/>
        <v>6035382.9236466512</v>
      </c>
      <c r="BI28" s="101">
        <f t="shared" si="358"/>
        <v>6046812.2514717244</v>
      </c>
      <c r="BJ28" s="101">
        <f t="shared" si="358"/>
        <v>6099269.2477672696</v>
      </c>
      <c r="BK28" s="101">
        <f t="shared" si="358"/>
        <v>6131278.52239988</v>
      </c>
      <c r="BL28" s="101">
        <f t="shared" si="358"/>
        <v>6111963.5178710856</v>
      </c>
      <c r="BM28" s="101">
        <f t="shared" si="358"/>
        <v>6106863.6485098545</v>
      </c>
      <c r="BN28" s="102">
        <f t="shared" si="358"/>
        <v>5985719.2119149901</v>
      </c>
      <c r="BO28" s="103">
        <f>SUM(BC28:BN28)</f>
        <v>72636662.690992296</v>
      </c>
      <c r="BP28" s="104">
        <f t="shared" ref="BP28:CA28" si="359">BP13-BP24</f>
        <v>6186480.330359159</v>
      </c>
      <c r="BQ28" s="101">
        <f t="shared" si="359"/>
        <v>6186466.2697239928</v>
      </c>
      <c r="BR28" s="101">
        <f t="shared" si="359"/>
        <v>6129229.7601442058</v>
      </c>
      <c r="BS28" s="101">
        <f t="shared" si="359"/>
        <v>6156004.7182188705</v>
      </c>
      <c r="BT28" s="101">
        <f t="shared" si="359"/>
        <v>6161629.6988447728</v>
      </c>
      <c r="BU28" s="101">
        <f t="shared" si="359"/>
        <v>6160179.5455875155</v>
      </c>
      <c r="BV28" s="101">
        <f t="shared" si="359"/>
        <v>6166991.398400778</v>
      </c>
      <c r="BW28" s="101">
        <f t="shared" si="359"/>
        <v>6215001.7662599478</v>
      </c>
      <c r="BX28" s="101">
        <f t="shared" si="359"/>
        <v>6242728.9377083313</v>
      </c>
      <c r="BY28" s="101">
        <f t="shared" si="359"/>
        <v>6219290.267813121</v>
      </c>
      <c r="BZ28" s="101">
        <f t="shared" si="359"/>
        <v>6210219.3087040354</v>
      </c>
      <c r="CA28" s="102">
        <f t="shared" si="359"/>
        <v>6085250.7126819855</v>
      </c>
      <c r="CB28" s="103">
        <f>SUM(BP28:CA28)</f>
        <v>74119472.714446709</v>
      </c>
      <c r="CC28" s="104">
        <f t="shared" ref="CC28:CN28" si="360">CC13-CC24</f>
        <v>6282799.0120334886</v>
      </c>
      <c r="CD28" s="101">
        <f t="shared" si="360"/>
        <v>6278768.6980587812</v>
      </c>
      <c r="CE28" s="101">
        <f t="shared" si="360"/>
        <v>6218116.9986306066</v>
      </c>
      <c r="CF28" s="101">
        <f t="shared" si="360"/>
        <v>6241603.1288812738</v>
      </c>
      <c r="CG28" s="101">
        <f t="shared" si="360"/>
        <v>6244060.9683126677</v>
      </c>
      <c r="CH28" s="101">
        <f t="shared" si="360"/>
        <v>6239560.8580850987</v>
      </c>
      <c r="CI28" s="101">
        <f t="shared" si="360"/>
        <v>6243435.6023359494</v>
      </c>
      <c r="CJ28" s="101">
        <f t="shared" si="360"/>
        <v>6288617.5346495202</v>
      </c>
      <c r="CK28" s="101">
        <f t="shared" si="360"/>
        <v>6313620.9226674866</v>
      </c>
      <c r="CL28" s="101">
        <f t="shared" si="360"/>
        <v>6287559.2493287893</v>
      </c>
      <c r="CM28" s="101">
        <f t="shared" si="360"/>
        <v>6275962.3379036244</v>
      </c>
      <c r="CN28" s="102">
        <f t="shared" si="360"/>
        <v>6148561.2498011906</v>
      </c>
      <c r="CO28" s="103">
        <f>SUM(CC28:CN28)</f>
        <v>75062666.560688481</v>
      </c>
      <c r="CP28" s="104">
        <f t="shared" ref="CP28:DA28" si="361">CP13-CP24</f>
        <v>6344065.9217497492</v>
      </c>
      <c r="CQ28" s="101">
        <f t="shared" si="361"/>
        <v>6337480.9275564812</v>
      </c>
      <c r="CR28" s="101">
        <f t="shared" si="361"/>
        <v>6274656.8756368905</v>
      </c>
      <c r="CS28" s="101">
        <f t="shared" si="361"/>
        <v>6296051.0304383272</v>
      </c>
      <c r="CT28" s="101">
        <f t="shared" si="361"/>
        <v>6296494.2975121094</v>
      </c>
      <c r="CU28" s="101">
        <f t="shared" si="361"/>
        <v>6290054.154104162</v>
      </c>
      <c r="CV28" s="101">
        <f t="shared" si="361"/>
        <v>6292060.6464023069</v>
      </c>
      <c r="CW28" s="101">
        <f t="shared" si="361"/>
        <v>6335443.4520854224</v>
      </c>
      <c r="CX28" s="101">
        <f t="shared" si="361"/>
        <v>6358714.2811582601</v>
      </c>
      <c r="CY28" s="101">
        <f t="shared" si="361"/>
        <v>6330984.1535554053</v>
      </c>
      <c r="CZ28" s="101">
        <f t="shared" si="361"/>
        <v>6317780.5206738552</v>
      </c>
      <c r="DA28" s="102">
        <f t="shared" si="361"/>
        <v>6188832.1598089216</v>
      </c>
      <c r="DB28" s="103">
        <f>SUM(CP28:DA28)</f>
        <v>75662618.420681894</v>
      </c>
      <c r="DC28" s="104">
        <f t="shared" ref="DC28:DN28" si="362">DC13-DC24</f>
        <v>6383036.9101491952</v>
      </c>
      <c r="DD28" s="101">
        <f t="shared" si="362"/>
        <v>6374826.9210994393</v>
      </c>
      <c r="DE28" s="101">
        <f t="shared" si="362"/>
        <v>6310621.0674187616</v>
      </c>
      <c r="DF28" s="101">
        <f t="shared" si="362"/>
        <v>6330684.5471242676</v>
      </c>
      <c r="DG28" s="101">
        <f t="shared" si="362"/>
        <v>6329846.3740806701</v>
      </c>
      <c r="DH28" s="101">
        <f t="shared" si="362"/>
        <v>6322172.2038396858</v>
      </c>
      <c r="DI28" s="101">
        <f t="shared" si="362"/>
        <v>6322990.3282976169</v>
      </c>
      <c r="DJ28" s="101">
        <f t="shared" si="362"/>
        <v>6365228.7357506063</v>
      </c>
      <c r="DK28" s="101">
        <f t="shared" si="362"/>
        <v>6387397.5093278345</v>
      </c>
      <c r="DL28" s="101">
        <f t="shared" si="362"/>
        <v>6358606.1022827029</v>
      </c>
      <c r="DM28" s="101">
        <f t="shared" si="362"/>
        <v>6344380.4572982416</v>
      </c>
      <c r="DN28" s="102">
        <f t="shared" si="362"/>
        <v>6214447.8987782076</v>
      </c>
      <c r="DO28" s="103">
        <f>SUM(DC28:DN28)</f>
        <v>76044239.055447221</v>
      </c>
      <c r="DP28" s="104">
        <f t="shared" ref="DP28:EA28" si="363">DP13-DP24</f>
        <v>6407825.787927812</v>
      </c>
      <c r="DQ28" s="101">
        <f t="shared" si="363"/>
        <v>6398582.1633316483</v>
      </c>
      <c r="DR28" s="101">
        <f t="shared" si="363"/>
        <v>6333497.3656883761</v>
      </c>
      <c r="DS28" s="101">
        <f t="shared" si="363"/>
        <v>6352714.4223579075</v>
      </c>
      <c r="DT28" s="101">
        <f t="shared" si="363"/>
        <v>6351061.1439306643</v>
      </c>
      <c r="DU28" s="101">
        <f t="shared" si="363"/>
        <v>6342602.0272052307</v>
      </c>
      <c r="DV28" s="101">
        <f t="shared" si="363"/>
        <v>6342664.2481986377</v>
      </c>
      <c r="DW28" s="101">
        <f t="shared" si="363"/>
        <v>6384174.7206152864</v>
      </c>
      <c r="DX28" s="101">
        <f t="shared" si="363"/>
        <v>6405642.4927525213</v>
      </c>
      <c r="DY28" s="101">
        <f t="shared" si="363"/>
        <v>6376176.0213206764</v>
      </c>
      <c r="DZ28" s="101">
        <f t="shared" si="363"/>
        <v>6361300.2893318115</v>
      </c>
      <c r="EA28" s="102">
        <f t="shared" si="363"/>
        <v>6230741.697026534</v>
      </c>
      <c r="EB28" s="106">
        <f>SUM(DP28:EA28)</f>
        <v>76286982.379687116</v>
      </c>
    </row>
    <row r="29" spans="1:132" s="95" customFormat="1" ht="36" customHeight="1">
      <c r="A29" s="377" t="s">
        <v>121</v>
      </c>
      <c r="B29" s="378"/>
      <c r="C29" s="108">
        <f t="shared" ref="C29:AH29" si="364">SUM(C30,C40,C36)</f>
        <v>240000</v>
      </c>
      <c r="D29" s="108">
        <f t="shared" si="364"/>
        <v>644141.64</v>
      </c>
      <c r="E29" s="108">
        <f t="shared" si="364"/>
        <v>2988563.2800000003</v>
      </c>
      <c r="F29" s="108">
        <f t="shared" si="364"/>
        <v>2988563.2800000003</v>
      </c>
      <c r="G29" s="108">
        <f t="shared" si="364"/>
        <v>3373705.68</v>
      </c>
      <c r="H29" s="108">
        <f t="shared" si="364"/>
        <v>3394307.2800000003</v>
      </c>
      <c r="I29" s="108">
        <f t="shared" si="364"/>
        <v>3433730.5120000001</v>
      </c>
      <c r="J29" s="108">
        <f t="shared" si="364"/>
        <v>3465595.7044479996</v>
      </c>
      <c r="K29" s="108">
        <f t="shared" si="364"/>
        <v>3502506.150019072</v>
      </c>
      <c r="L29" s="108">
        <f t="shared" si="364"/>
        <v>3525258.4385439996</v>
      </c>
      <c r="M29" s="108">
        <f t="shared" si="364"/>
        <v>3527732.1127600158</v>
      </c>
      <c r="N29" s="109">
        <f t="shared" si="364"/>
        <v>3538373.9865802955</v>
      </c>
      <c r="O29" s="110">
        <f t="shared" si="364"/>
        <v>33822478.06435138</v>
      </c>
      <c r="P29" s="111">
        <f t="shared" si="364"/>
        <v>3373078.9987310213</v>
      </c>
      <c r="Q29" s="108">
        <f t="shared" si="364"/>
        <v>3081689.7593706632</v>
      </c>
      <c r="R29" s="108">
        <f t="shared" si="364"/>
        <v>3034829.7995402422</v>
      </c>
      <c r="S29" s="108">
        <f t="shared" si="364"/>
        <v>3395709.1935018506</v>
      </c>
      <c r="T29" s="108">
        <f t="shared" si="364"/>
        <v>3072572.139147264</v>
      </c>
      <c r="U29" s="108">
        <f t="shared" si="364"/>
        <v>3077762.8996988153</v>
      </c>
      <c r="V29" s="108">
        <f t="shared" si="364"/>
        <v>3119177.3742699591</v>
      </c>
      <c r="W29" s="108">
        <f t="shared" si="364"/>
        <v>3122350.9449619707</v>
      </c>
      <c r="X29" s="108">
        <f t="shared" si="364"/>
        <v>3138676.9200983774</v>
      </c>
      <c r="Y29" s="108">
        <f t="shared" si="364"/>
        <v>3149379.0939947376</v>
      </c>
      <c r="Z29" s="108">
        <f t="shared" si="364"/>
        <v>3137917.8480969323</v>
      </c>
      <c r="AA29" s="109">
        <f t="shared" si="364"/>
        <v>2947850.7335773455</v>
      </c>
      <c r="AB29" s="110">
        <f t="shared" si="364"/>
        <v>37650995.70498918</v>
      </c>
      <c r="AC29" s="111">
        <f t="shared" si="364"/>
        <v>3482158.1480949838</v>
      </c>
      <c r="AD29" s="108">
        <f t="shared" si="364"/>
        <v>2987359.9229604695</v>
      </c>
      <c r="AE29" s="108">
        <f t="shared" si="364"/>
        <v>2984169.9950359324</v>
      </c>
      <c r="AF29" s="108">
        <f t="shared" si="364"/>
        <v>3021794.7677246025</v>
      </c>
      <c r="AG29" s="108">
        <f t="shared" si="364"/>
        <v>3005306.1639395105</v>
      </c>
      <c r="AH29" s="108">
        <f t="shared" si="364"/>
        <v>3021719.7961707488</v>
      </c>
      <c r="AI29" s="108">
        <f t="shared" ref="AI29:BN29" si="365">SUM(AI30,AI40,AI36)</f>
        <v>3024936.2391454307</v>
      </c>
      <c r="AJ29" s="108">
        <f t="shared" si="365"/>
        <v>3026711.8032660503</v>
      </c>
      <c r="AK29" s="108">
        <f t="shared" si="365"/>
        <v>3025731.049370206</v>
      </c>
      <c r="AL29" s="108">
        <f t="shared" si="365"/>
        <v>3031248.1542485086</v>
      </c>
      <c r="AM29" s="108">
        <f t="shared" si="365"/>
        <v>3023724.4553343132</v>
      </c>
      <c r="AN29" s="109">
        <f t="shared" si="365"/>
        <v>2919909.1095999442</v>
      </c>
      <c r="AO29" s="110">
        <f t="shared" si="365"/>
        <v>36554769.604890704</v>
      </c>
      <c r="AP29" s="111">
        <f t="shared" si="365"/>
        <v>3027559.7471474577</v>
      </c>
      <c r="AQ29" s="108">
        <f t="shared" si="365"/>
        <v>3039839.1503968975</v>
      </c>
      <c r="AR29" s="108">
        <f t="shared" si="365"/>
        <v>3025732.2109664623</v>
      </c>
      <c r="AS29" s="108">
        <f t="shared" si="365"/>
        <v>3030541.0757829528</v>
      </c>
      <c r="AT29" s="108">
        <f t="shared" si="365"/>
        <v>3032752.8961212337</v>
      </c>
      <c r="AU29" s="108">
        <f t="shared" si="365"/>
        <v>3034058.837954998</v>
      </c>
      <c r="AV29" s="108">
        <f t="shared" si="365"/>
        <v>3036301.4619889138</v>
      </c>
      <c r="AW29" s="108">
        <f t="shared" si="365"/>
        <v>3043435.1753655737</v>
      </c>
      <c r="AX29" s="108">
        <f t="shared" si="365"/>
        <v>3048084.1238112971</v>
      </c>
      <c r="AY29" s="108">
        <f t="shared" si="365"/>
        <v>3046544.2688445291</v>
      </c>
      <c r="AZ29" s="108">
        <f t="shared" si="365"/>
        <v>3046681.4461115319</v>
      </c>
      <c r="BA29" s="109">
        <f t="shared" si="365"/>
        <v>2940094.3563316548</v>
      </c>
      <c r="BB29" s="110">
        <f t="shared" si="365"/>
        <v>36351624.750823505</v>
      </c>
      <c r="BC29" s="111">
        <f t="shared" si="365"/>
        <v>3075039.5502772159</v>
      </c>
      <c r="BD29" s="108">
        <f t="shared" si="365"/>
        <v>3075795.5448793075</v>
      </c>
      <c r="BE29" s="108">
        <f t="shared" si="365"/>
        <v>3069571.4526329357</v>
      </c>
      <c r="BF29" s="108">
        <f t="shared" si="365"/>
        <v>3073404.8978156792</v>
      </c>
      <c r="BG29" s="108">
        <f t="shared" si="365"/>
        <v>3074677.389046662</v>
      </c>
      <c r="BH29" s="108">
        <f t="shared" si="365"/>
        <v>3075078.7569500981</v>
      </c>
      <c r="BI29" s="108">
        <f t="shared" si="365"/>
        <v>3076450.2762891068</v>
      </c>
      <c r="BJ29" s="108">
        <f t="shared" si="365"/>
        <v>3082745.1158445724</v>
      </c>
      <c r="BK29" s="108">
        <f t="shared" si="365"/>
        <v>3086586.2288004858</v>
      </c>
      <c r="BL29" s="108">
        <f t="shared" si="365"/>
        <v>3084268.4282570304</v>
      </c>
      <c r="BM29" s="108">
        <f t="shared" si="365"/>
        <v>3083656.4439336825</v>
      </c>
      <c r="BN29" s="109">
        <f t="shared" si="365"/>
        <v>2976347.9115422987</v>
      </c>
      <c r="BO29" s="110">
        <f t="shared" ref="BO29:CT29" si="366">SUM(BO30,BO40,BO36)</f>
        <v>36833621.996269077</v>
      </c>
      <c r="BP29" s="111">
        <f t="shared" si="366"/>
        <v>3111560.8220612244</v>
      </c>
      <c r="BQ29" s="108">
        <f t="shared" si="366"/>
        <v>3111559.1347850044</v>
      </c>
      <c r="BR29" s="108">
        <f t="shared" si="366"/>
        <v>2543090.7536354298</v>
      </c>
      <c r="BS29" s="108">
        <f t="shared" si="366"/>
        <v>2546303.7486043898</v>
      </c>
      <c r="BT29" s="108">
        <f t="shared" si="366"/>
        <v>2546978.7462794976</v>
      </c>
      <c r="BU29" s="108">
        <f t="shared" si="366"/>
        <v>2546804.727888627</v>
      </c>
      <c r="BV29" s="108">
        <f t="shared" si="366"/>
        <v>2547622.1502262186</v>
      </c>
      <c r="BW29" s="108">
        <f t="shared" si="366"/>
        <v>2553383.3943693186</v>
      </c>
      <c r="BX29" s="108">
        <f t="shared" si="366"/>
        <v>2556710.6549431249</v>
      </c>
      <c r="BY29" s="108">
        <f t="shared" si="366"/>
        <v>2553898.0145556997</v>
      </c>
      <c r="BZ29" s="108">
        <f t="shared" si="366"/>
        <v>2552809.4994626092</v>
      </c>
      <c r="CA29" s="109">
        <f t="shared" si="366"/>
        <v>2445042.0679399632</v>
      </c>
      <c r="CB29" s="110">
        <f t="shared" si="366"/>
        <v>31615763.714751106</v>
      </c>
      <c r="CC29" s="111">
        <f t="shared" si="366"/>
        <v>2580786.9589830502</v>
      </c>
      <c r="CD29" s="108">
        <f t="shared" si="366"/>
        <v>2580303.3213060852</v>
      </c>
      <c r="CE29" s="108">
        <f t="shared" si="366"/>
        <v>2573025.1173747042</v>
      </c>
      <c r="CF29" s="108">
        <f t="shared" si="366"/>
        <v>2575843.4530047844</v>
      </c>
      <c r="CG29" s="108">
        <f t="shared" si="366"/>
        <v>2576138.3937365515</v>
      </c>
      <c r="CH29" s="108">
        <f t="shared" si="366"/>
        <v>2575598.3805092433</v>
      </c>
      <c r="CI29" s="108">
        <f t="shared" si="366"/>
        <v>2576063.3498193454</v>
      </c>
      <c r="CJ29" s="108">
        <f t="shared" si="366"/>
        <v>2581485.1816969737</v>
      </c>
      <c r="CK29" s="108">
        <f t="shared" si="366"/>
        <v>2584485.5882591298</v>
      </c>
      <c r="CL29" s="108">
        <f t="shared" si="366"/>
        <v>2581358.1874584858</v>
      </c>
      <c r="CM29" s="108">
        <f t="shared" si="366"/>
        <v>2579966.5580874663</v>
      </c>
      <c r="CN29" s="109">
        <f t="shared" si="366"/>
        <v>2471907.2275151741</v>
      </c>
      <c r="CO29" s="110">
        <f t="shared" si="366"/>
        <v>30836961.717750993</v>
      </c>
      <c r="CP29" s="111">
        <f t="shared" si="366"/>
        <v>2608370.2780259526</v>
      </c>
      <c r="CQ29" s="108">
        <f t="shared" si="366"/>
        <v>2607580.0787227605</v>
      </c>
      <c r="CR29" s="108">
        <f t="shared" si="366"/>
        <v>2600041.1924924096</v>
      </c>
      <c r="CS29" s="108">
        <f t="shared" si="366"/>
        <v>2602608.4910685821</v>
      </c>
      <c r="CT29" s="108">
        <f t="shared" si="366"/>
        <v>2602661.6831174358</v>
      </c>
      <c r="CU29" s="108">
        <f t="shared" ref="CU29:DZ29" si="367">SUM(CU30,CU40,CU36)</f>
        <v>2601888.8659084821</v>
      </c>
      <c r="CV29" s="108">
        <f t="shared" si="367"/>
        <v>2602129.6449842593</v>
      </c>
      <c r="CW29" s="108">
        <f t="shared" si="367"/>
        <v>2607335.5816662335</v>
      </c>
      <c r="CX29" s="108">
        <f t="shared" si="367"/>
        <v>2610128.0811549742</v>
      </c>
      <c r="CY29" s="108">
        <f t="shared" si="367"/>
        <v>2606800.4658426316</v>
      </c>
      <c r="CZ29" s="108">
        <f t="shared" si="367"/>
        <v>2605216.0298968451</v>
      </c>
      <c r="DA29" s="109">
        <f t="shared" si="367"/>
        <v>2496971.0265930532</v>
      </c>
      <c r="DB29" s="110">
        <f t="shared" si="367"/>
        <v>31151731.419473618</v>
      </c>
      <c r="DC29" s="111">
        <f t="shared" si="367"/>
        <v>2634289.6510046856</v>
      </c>
      <c r="DD29" s="108">
        <f t="shared" si="367"/>
        <v>2633304.4523187145</v>
      </c>
      <c r="DE29" s="108">
        <f t="shared" si="367"/>
        <v>2625599.7498770338</v>
      </c>
      <c r="DF29" s="108">
        <f t="shared" si="367"/>
        <v>2628007.3674416943</v>
      </c>
      <c r="DG29" s="108">
        <f t="shared" si="367"/>
        <v>2627906.7866764623</v>
      </c>
      <c r="DH29" s="108">
        <f t="shared" si="367"/>
        <v>2626985.8862475445</v>
      </c>
      <c r="DI29" s="108">
        <f t="shared" si="367"/>
        <v>2627084.0611824961</v>
      </c>
      <c r="DJ29" s="108">
        <f t="shared" si="367"/>
        <v>2632152.6700768545</v>
      </c>
      <c r="DK29" s="108">
        <f t="shared" si="367"/>
        <v>2634812.9229061222</v>
      </c>
      <c r="DL29" s="108">
        <f t="shared" si="367"/>
        <v>2631357.9540607063</v>
      </c>
      <c r="DM29" s="108">
        <f t="shared" si="367"/>
        <v>2629650.876662571</v>
      </c>
      <c r="DN29" s="109">
        <f t="shared" si="367"/>
        <v>2521287.7696401668</v>
      </c>
      <c r="DO29" s="110">
        <f t="shared" si="367"/>
        <v>31452440.148095049</v>
      </c>
      <c r="DP29" s="111">
        <f t="shared" si="367"/>
        <v>2659569.3134274585</v>
      </c>
      <c r="DQ29" s="108">
        <f t="shared" si="367"/>
        <v>2658460.0784759186</v>
      </c>
      <c r="DR29" s="108">
        <f t="shared" si="367"/>
        <v>2650649.9027587259</v>
      </c>
      <c r="DS29" s="108">
        <f t="shared" si="367"/>
        <v>2652955.9495590702</v>
      </c>
      <c r="DT29" s="108">
        <f t="shared" si="367"/>
        <v>2652757.5561478008</v>
      </c>
      <c r="DU29" s="108">
        <f t="shared" si="367"/>
        <v>2651742.4621407487</v>
      </c>
      <c r="DV29" s="108">
        <f t="shared" si="367"/>
        <v>2651749.9286599578</v>
      </c>
      <c r="DW29" s="108">
        <f t="shared" si="367"/>
        <v>2656731.1853499557</v>
      </c>
      <c r="DX29" s="108">
        <f t="shared" si="367"/>
        <v>2659307.3180064238</v>
      </c>
      <c r="DY29" s="108">
        <f t="shared" si="367"/>
        <v>2655771.3414346022</v>
      </c>
      <c r="DZ29" s="108">
        <f t="shared" si="367"/>
        <v>2653986.2535959384</v>
      </c>
      <c r="EA29" s="109">
        <f t="shared" ref="EA29:FF29" si="368">SUM(EA30,EA40,EA36)</f>
        <v>2545548.0225193053</v>
      </c>
      <c r="EB29" s="112">
        <f t="shared" si="368"/>
        <v>31749229.312075906</v>
      </c>
    </row>
    <row r="30" spans="1:132" s="7" customFormat="1" ht="24" customHeight="1">
      <c r="A30" s="185"/>
      <c r="B30" s="186" t="s">
        <v>41</v>
      </c>
      <c r="C30" s="187"/>
      <c r="D30" s="187">
        <f>SUM(D31:D35)</f>
        <v>359141.64</v>
      </c>
      <c r="E30" s="187">
        <f t="shared" ref="E30" si="369">SUM(E31:E35)</f>
        <v>718283.28</v>
      </c>
      <c r="F30" s="187">
        <f t="shared" ref="F30:N30" si="370">SUM(F31:F35)</f>
        <v>718283.28</v>
      </c>
      <c r="G30" s="187">
        <f t="shared" si="370"/>
        <v>718283.28</v>
      </c>
      <c r="H30" s="187">
        <f t="shared" si="370"/>
        <v>718283.28</v>
      </c>
      <c r="I30" s="187">
        <f t="shared" si="370"/>
        <v>718283.28</v>
      </c>
      <c r="J30" s="187">
        <f t="shared" si="370"/>
        <v>718283.28</v>
      </c>
      <c r="K30" s="187">
        <f t="shared" si="370"/>
        <v>718283.28</v>
      </c>
      <c r="L30" s="187">
        <f t="shared" si="370"/>
        <v>718283.28</v>
      </c>
      <c r="M30" s="187">
        <f t="shared" si="370"/>
        <v>718283.28</v>
      </c>
      <c r="N30" s="188">
        <f t="shared" si="370"/>
        <v>718283.28</v>
      </c>
      <c r="O30" s="189">
        <f>SUM(O31:O35)</f>
        <v>7541974.4400000004</v>
      </c>
      <c r="P30" s="190">
        <f>SUM(P31:P35)</f>
        <v>733380.17999999993</v>
      </c>
      <c r="Q30" s="187">
        <f>SUM(Q31:Q35)</f>
        <v>733380.17999999993</v>
      </c>
      <c r="R30" s="187">
        <f>SUM(R31:R35)</f>
        <v>733380.17999999993</v>
      </c>
      <c r="S30" s="187">
        <f t="shared" ref="S30" si="371">SUM(S31:S35)</f>
        <v>733380.17999999993</v>
      </c>
      <c r="T30" s="187">
        <f t="shared" ref="T30" si="372">SUM(T31:T35)</f>
        <v>733380.17999999993</v>
      </c>
      <c r="U30" s="187">
        <f t="shared" ref="U30" si="373">SUM(U31:U35)</f>
        <v>733380.17999999993</v>
      </c>
      <c r="V30" s="187">
        <f t="shared" ref="V30" si="374">SUM(V31:V35)</f>
        <v>733380.17999999993</v>
      </c>
      <c r="W30" s="187">
        <f t="shared" ref="W30" si="375">SUM(W31:W35)</f>
        <v>733380.17999999993</v>
      </c>
      <c r="X30" s="187">
        <f t="shared" ref="X30" si="376">SUM(X31:X35)</f>
        <v>733380.17999999993</v>
      </c>
      <c r="Y30" s="187">
        <f t="shared" ref="Y30" si="377">SUM(Y31:Y35)</f>
        <v>733380.17999999993</v>
      </c>
      <c r="Z30" s="187">
        <f t="shared" ref="Z30" si="378">SUM(Z31:Z35)</f>
        <v>733380.17999999993</v>
      </c>
      <c r="AA30" s="188">
        <f t="shared" ref="AA30" si="379">SUM(AA31:AA35)</f>
        <v>733380.17999999993</v>
      </c>
      <c r="AB30" s="189">
        <f>SUM(AB31:AB35)</f>
        <v>8800562.1600000001</v>
      </c>
      <c r="AC30" s="190">
        <f>SUM(AC31:AC35)</f>
        <v>749231.92500000005</v>
      </c>
      <c r="AD30" s="187">
        <f>SUM(AD31:AD35)</f>
        <v>749231.92500000005</v>
      </c>
      <c r="AE30" s="187">
        <f>SUM(AE31:AE35)</f>
        <v>749231.92500000005</v>
      </c>
      <c r="AF30" s="187">
        <f t="shared" ref="AF30" si="380">SUM(AF31:AF35)</f>
        <v>749231.92500000005</v>
      </c>
      <c r="AG30" s="187">
        <f t="shared" ref="AG30" si="381">SUM(AG31:AG35)</f>
        <v>749231.92500000005</v>
      </c>
      <c r="AH30" s="187">
        <f t="shared" ref="AH30" si="382">SUM(AH31:AH35)</f>
        <v>749231.92500000005</v>
      </c>
      <c r="AI30" s="187">
        <f t="shared" ref="AI30" si="383">SUM(AI31:AI35)</f>
        <v>749231.92500000005</v>
      </c>
      <c r="AJ30" s="187">
        <f t="shared" ref="AJ30" si="384">SUM(AJ31:AJ35)</f>
        <v>749231.92500000005</v>
      </c>
      <c r="AK30" s="187">
        <f t="shared" ref="AK30" si="385">SUM(AK31:AK35)</f>
        <v>749231.92500000005</v>
      </c>
      <c r="AL30" s="187">
        <f t="shared" ref="AL30" si="386">SUM(AL31:AL35)</f>
        <v>749231.92500000005</v>
      </c>
      <c r="AM30" s="187">
        <f t="shared" ref="AM30" si="387">SUM(AM31:AM35)</f>
        <v>749231.92500000005</v>
      </c>
      <c r="AN30" s="188">
        <f t="shared" ref="AN30" si="388">SUM(AN31:AN35)</f>
        <v>749231.92500000005</v>
      </c>
      <c r="AO30" s="189">
        <f>SUM(AO31:AO35)</f>
        <v>8990783.0999999996</v>
      </c>
      <c r="AP30" s="190">
        <f>SUM(AP31:AP35)</f>
        <v>765876.25725000002</v>
      </c>
      <c r="AQ30" s="187">
        <f>SUM(AQ31:AQ35)</f>
        <v>765876.25725000002</v>
      </c>
      <c r="AR30" s="187">
        <f>SUM(AR31:AR35)</f>
        <v>765876.25725000002</v>
      </c>
      <c r="AS30" s="187">
        <f t="shared" ref="AS30" si="389">SUM(AS31:AS35)</f>
        <v>765876.25725000002</v>
      </c>
      <c r="AT30" s="187">
        <f t="shared" ref="AT30" si="390">SUM(AT31:AT35)</f>
        <v>765876.25725000002</v>
      </c>
      <c r="AU30" s="187">
        <f t="shared" ref="AU30" si="391">SUM(AU31:AU35)</f>
        <v>765876.25725000002</v>
      </c>
      <c r="AV30" s="187">
        <f t="shared" ref="AV30" si="392">SUM(AV31:AV35)</f>
        <v>765876.25725000002</v>
      </c>
      <c r="AW30" s="187">
        <f t="shared" ref="AW30" si="393">SUM(AW31:AW35)</f>
        <v>765876.25725000002</v>
      </c>
      <c r="AX30" s="187">
        <f t="shared" ref="AX30" si="394">SUM(AX31:AX35)</f>
        <v>765876.25725000002</v>
      </c>
      <c r="AY30" s="187">
        <f t="shared" ref="AY30" si="395">SUM(AY31:AY35)</f>
        <v>765876.25725000002</v>
      </c>
      <c r="AZ30" s="187">
        <f t="shared" ref="AZ30" si="396">SUM(AZ31:AZ35)</f>
        <v>765876.25725000002</v>
      </c>
      <c r="BA30" s="188">
        <f t="shared" ref="BA30" si="397">SUM(BA31:BA35)</f>
        <v>765876.25725000002</v>
      </c>
      <c r="BB30" s="189">
        <f>SUM(BB31:BB35)</f>
        <v>9190515.0869999994</v>
      </c>
      <c r="BC30" s="190">
        <f>SUM(BC31:BC35)</f>
        <v>783352.80611250002</v>
      </c>
      <c r="BD30" s="187">
        <f>SUM(BD31:BD35)</f>
        <v>783352.80611250002</v>
      </c>
      <c r="BE30" s="187">
        <f>SUM(BE31:BE35)</f>
        <v>783352.80611250002</v>
      </c>
      <c r="BF30" s="187">
        <f t="shared" ref="BF30" si="398">SUM(BF31:BF35)</f>
        <v>783352.80611250002</v>
      </c>
      <c r="BG30" s="187">
        <f t="shared" ref="BG30" si="399">SUM(BG31:BG35)</f>
        <v>783352.80611250002</v>
      </c>
      <c r="BH30" s="187">
        <f t="shared" ref="BH30" si="400">SUM(BH31:BH35)</f>
        <v>783352.80611250002</v>
      </c>
      <c r="BI30" s="187">
        <f t="shared" ref="BI30" si="401">SUM(BI31:BI35)</f>
        <v>783352.80611250002</v>
      </c>
      <c r="BJ30" s="187">
        <f t="shared" ref="BJ30" si="402">SUM(BJ31:BJ35)</f>
        <v>783352.80611250002</v>
      </c>
      <c r="BK30" s="187">
        <f t="shared" ref="BK30" si="403">SUM(BK31:BK35)</f>
        <v>783352.80611250002</v>
      </c>
      <c r="BL30" s="187">
        <f t="shared" ref="BL30" si="404">SUM(BL31:BL35)</f>
        <v>783352.80611250002</v>
      </c>
      <c r="BM30" s="187">
        <f t="shared" ref="BM30" si="405">SUM(BM31:BM35)</f>
        <v>783352.80611250002</v>
      </c>
      <c r="BN30" s="188">
        <f t="shared" ref="BN30" si="406">SUM(BN31:BN35)</f>
        <v>783352.80611250002</v>
      </c>
      <c r="BO30" s="189">
        <f>SUM(BO31:BO35)</f>
        <v>9400233.6733499989</v>
      </c>
      <c r="BP30" s="190">
        <f>SUM(BP31:BP35)</f>
        <v>801703.1824181251</v>
      </c>
      <c r="BQ30" s="187">
        <f>SUM(BQ31:BQ35)</f>
        <v>801703.1824181251</v>
      </c>
      <c r="BR30" s="187">
        <f>SUM(BR31:BR35)</f>
        <v>801703.1824181251</v>
      </c>
      <c r="BS30" s="187">
        <f t="shared" ref="BS30" si="407">SUM(BS31:BS35)</f>
        <v>801703.1824181251</v>
      </c>
      <c r="BT30" s="187">
        <f t="shared" ref="BT30" si="408">SUM(BT31:BT35)</f>
        <v>801703.1824181251</v>
      </c>
      <c r="BU30" s="187">
        <f t="shared" ref="BU30" si="409">SUM(BU31:BU35)</f>
        <v>801703.1824181251</v>
      </c>
      <c r="BV30" s="187">
        <f t="shared" ref="BV30" si="410">SUM(BV31:BV35)</f>
        <v>801703.1824181251</v>
      </c>
      <c r="BW30" s="187">
        <f t="shared" ref="BW30" si="411">SUM(BW31:BW35)</f>
        <v>801703.1824181251</v>
      </c>
      <c r="BX30" s="187">
        <f t="shared" ref="BX30" si="412">SUM(BX31:BX35)</f>
        <v>801703.1824181251</v>
      </c>
      <c r="BY30" s="187">
        <f t="shared" ref="BY30" si="413">SUM(BY31:BY35)</f>
        <v>801703.1824181251</v>
      </c>
      <c r="BZ30" s="187">
        <f t="shared" ref="BZ30" si="414">SUM(BZ31:BZ35)</f>
        <v>801703.1824181251</v>
      </c>
      <c r="CA30" s="188">
        <f t="shared" ref="CA30" si="415">SUM(CA31:CA35)</f>
        <v>801703.1824181251</v>
      </c>
      <c r="CB30" s="189">
        <f>SUM(CB31:CB35)</f>
        <v>9620438.1890175007</v>
      </c>
      <c r="CC30" s="190">
        <f>SUM(CC31:CC35)</f>
        <v>820971.07753903128</v>
      </c>
      <c r="CD30" s="187">
        <f>SUM(CD31:CD35)</f>
        <v>820971.07753903128</v>
      </c>
      <c r="CE30" s="187">
        <f>SUM(CE31:CE35)</f>
        <v>820971.07753903128</v>
      </c>
      <c r="CF30" s="187">
        <f t="shared" ref="CF30" si="416">SUM(CF31:CF35)</f>
        <v>820971.07753903128</v>
      </c>
      <c r="CG30" s="187">
        <f t="shared" ref="CG30" si="417">SUM(CG31:CG35)</f>
        <v>820971.07753903128</v>
      </c>
      <c r="CH30" s="187">
        <f t="shared" ref="CH30" si="418">SUM(CH31:CH35)</f>
        <v>820971.07753903128</v>
      </c>
      <c r="CI30" s="187">
        <f t="shared" ref="CI30" si="419">SUM(CI31:CI35)</f>
        <v>820971.07753903128</v>
      </c>
      <c r="CJ30" s="187">
        <f t="shared" ref="CJ30" si="420">SUM(CJ31:CJ35)</f>
        <v>820971.07753903128</v>
      </c>
      <c r="CK30" s="187">
        <f t="shared" ref="CK30" si="421">SUM(CK31:CK35)</f>
        <v>820971.07753903128</v>
      </c>
      <c r="CL30" s="187">
        <f t="shared" ref="CL30" si="422">SUM(CL31:CL35)</f>
        <v>820971.07753903128</v>
      </c>
      <c r="CM30" s="187">
        <f t="shared" ref="CM30" si="423">SUM(CM31:CM35)</f>
        <v>820971.07753903128</v>
      </c>
      <c r="CN30" s="188">
        <f t="shared" ref="CN30" si="424">SUM(CN31:CN35)</f>
        <v>820971.07753903128</v>
      </c>
      <c r="CO30" s="189">
        <f>SUM(CO31:CO35)</f>
        <v>9851652.9304683767</v>
      </c>
      <c r="CP30" s="190">
        <f>SUM(CP31:CP35)</f>
        <v>841202.36741598276</v>
      </c>
      <c r="CQ30" s="187">
        <f>SUM(CQ31:CQ35)</f>
        <v>841202.36741598276</v>
      </c>
      <c r="CR30" s="187">
        <f>SUM(CR31:CR35)</f>
        <v>841202.36741598276</v>
      </c>
      <c r="CS30" s="187">
        <f t="shared" ref="CS30" si="425">SUM(CS31:CS35)</f>
        <v>841202.36741598276</v>
      </c>
      <c r="CT30" s="187">
        <f t="shared" ref="CT30" si="426">SUM(CT31:CT35)</f>
        <v>841202.36741598276</v>
      </c>
      <c r="CU30" s="187">
        <f t="shared" ref="CU30" si="427">SUM(CU31:CU35)</f>
        <v>841202.36741598276</v>
      </c>
      <c r="CV30" s="187">
        <f t="shared" ref="CV30" si="428">SUM(CV31:CV35)</f>
        <v>841202.36741598276</v>
      </c>
      <c r="CW30" s="187">
        <f t="shared" ref="CW30" si="429">SUM(CW31:CW35)</f>
        <v>841202.36741598276</v>
      </c>
      <c r="CX30" s="187">
        <f t="shared" ref="CX30" si="430">SUM(CX31:CX35)</f>
        <v>841202.36741598276</v>
      </c>
      <c r="CY30" s="187">
        <f t="shared" ref="CY30" si="431">SUM(CY31:CY35)</f>
        <v>841202.36741598276</v>
      </c>
      <c r="CZ30" s="187">
        <f t="shared" ref="CZ30" si="432">SUM(CZ31:CZ35)</f>
        <v>841202.36741598276</v>
      </c>
      <c r="DA30" s="188">
        <f t="shared" ref="DA30" si="433">SUM(DA31:DA35)</f>
        <v>841202.36741598276</v>
      </c>
      <c r="DB30" s="189">
        <f>SUM(DB31:DB35)</f>
        <v>10094428.408991791</v>
      </c>
      <c r="DC30" s="190">
        <f>SUM(DC31:DC35)</f>
        <v>862445.22178678191</v>
      </c>
      <c r="DD30" s="187">
        <f>SUM(DD31:DD35)</f>
        <v>862445.22178678191</v>
      </c>
      <c r="DE30" s="187">
        <f>SUM(DE31:DE35)</f>
        <v>862445.22178678191</v>
      </c>
      <c r="DF30" s="187">
        <f t="shared" ref="DF30" si="434">SUM(DF31:DF35)</f>
        <v>862445.22178678191</v>
      </c>
      <c r="DG30" s="187">
        <f t="shared" ref="DG30" si="435">SUM(DG31:DG35)</f>
        <v>862445.22178678191</v>
      </c>
      <c r="DH30" s="187">
        <f t="shared" ref="DH30" si="436">SUM(DH31:DH35)</f>
        <v>862445.22178678191</v>
      </c>
      <c r="DI30" s="187">
        <f t="shared" ref="DI30" si="437">SUM(DI31:DI35)</f>
        <v>862445.22178678191</v>
      </c>
      <c r="DJ30" s="187">
        <f t="shared" ref="DJ30" si="438">SUM(DJ31:DJ35)</f>
        <v>862445.22178678191</v>
      </c>
      <c r="DK30" s="187">
        <f t="shared" ref="DK30" si="439">SUM(DK31:DK35)</f>
        <v>862445.22178678191</v>
      </c>
      <c r="DL30" s="187">
        <f t="shared" ref="DL30" si="440">SUM(DL31:DL35)</f>
        <v>862445.22178678191</v>
      </c>
      <c r="DM30" s="187">
        <f t="shared" ref="DM30" si="441">SUM(DM31:DM35)</f>
        <v>862445.22178678191</v>
      </c>
      <c r="DN30" s="188">
        <f t="shared" ref="DN30" si="442">SUM(DN31:DN35)</f>
        <v>862445.22178678191</v>
      </c>
      <c r="DO30" s="189">
        <f>SUM(DO31:DO35)</f>
        <v>10349342.661441384</v>
      </c>
      <c r="DP30" s="190">
        <f>SUM(DP31:DP35)</f>
        <v>884750.2188761211</v>
      </c>
      <c r="DQ30" s="187">
        <f>SUM(DQ31:DQ35)</f>
        <v>884750.2188761211</v>
      </c>
      <c r="DR30" s="187">
        <f>SUM(DR31:DR35)</f>
        <v>884750.2188761211</v>
      </c>
      <c r="DS30" s="187">
        <f t="shared" ref="DS30" si="443">SUM(DS31:DS35)</f>
        <v>884750.2188761211</v>
      </c>
      <c r="DT30" s="187">
        <f t="shared" ref="DT30" si="444">SUM(DT31:DT35)</f>
        <v>884750.2188761211</v>
      </c>
      <c r="DU30" s="187">
        <f t="shared" ref="DU30" si="445">SUM(DU31:DU35)</f>
        <v>884750.2188761211</v>
      </c>
      <c r="DV30" s="187">
        <f t="shared" ref="DV30" si="446">SUM(DV31:DV35)</f>
        <v>884750.2188761211</v>
      </c>
      <c r="DW30" s="187">
        <f t="shared" ref="DW30" si="447">SUM(DW31:DW35)</f>
        <v>884750.2188761211</v>
      </c>
      <c r="DX30" s="187">
        <f t="shared" ref="DX30" si="448">SUM(DX31:DX35)</f>
        <v>884750.2188761211</v>
      </c>
      <c r="DY30" s="187">
        <f t="shared" ref="DY30" si="449">SUM(DY31:DY35)</f>
        <v>884750.2188761211</v>
      </c>
      <c r="DZ30" s="187">
        <f t="shared" ref="DZ30" si="450">SUM(DZ31:DZ35)</f>
        <v>884750.2188761211</v>
      </c>
      <c r="EA30" s="188">
        <f t="shared" ref="EA30" si="451">SUM(EA31:EA35)</f>
        <v>884750.2188761211</v>
      </c>
      <c r="EB30" s="225">
        <f>SUM(EB31:EB35)</f>
        <v>10617002.626513451</v>
      </c>
    </row>
    <row r="31" spans="1:132" s="7" customFormat="1" ht="24" customHeight="1">
      <c r="A31" s="185"/>
      <c r="B31" s="191" t="s">
        <v>189</v>
      </c>
      <c r="C31" s="2"/>
      <c r="D31" s="2">
        <f>各種シミュレーション!$B$8*0.5</f>
        <v>130000</v>
      </c>
      <c r="E31" s="2">
        <f>各種シミュレーション!$B$8</f>
        <v>260000</v>
      </c>
      <c r="F31" s="2">
        <f>$E$31</f>
        <v>260000</v>
      </c>
      <c r="G31" s="2">
        <f t="shared" ref="G31:N31" si="452">$E$31</f>
        <v>260000</v>
      </c>
      <c r="H31" s="2">
        <f t="shared" si="452"/>
        <v>260000</v>
      </c>
      <c r="I31" s="2">
        <f t="shared" si="452"/>
        <v>260000</v>
      </c>
      <c r="J31" s="2">
        <f t="shared" si="452"/>
        <v>260000</v>
      </c>
      <c r="K31" s="2">
        <f t="shared" si="452"/>
        <v>260000</v>
      </c>
      <c r="L31" s="2">
        <f t="shared" si="452"/>
        <v>260000</v>
      </c>
      <c r="M31" s="2">
        <f t="shared" si="452"/>
        <v>260000</v>
      </c>
      <c r="N31" s="2">
        <f t="shared" si="452"/>
        <v>260000</v>
      </c>
      <c r="O31" s="192">
        <f>SUM(C31:N31)</f>
        <v>2730000</v>
      </c>
      <c r="P31" s="4">
        <f>E31+(E31*各種シミュレーション!$B$9)</f>
        <v>273000</v>
      </c>
      <c r="Q31" s="2">
        <f>P31</f>
        <v>273000</v>
      </c>
      <c r="R31" s="2">
        <f t="shared" ref="R31:AA31" si="453">Q31</f>
        <v>273000</v>
      </c>
      <c r="S31" s="2">
        <f t="shared" si="453"/>
        <v>273000</v>
      </c>
      <c r="T31" s="2">
        <f t="shared" si="453"/>
        <v>273000</v>
      </c>
      <c r="U31" s="2">
        <f t="shared" si="453"/>
        <v>273000</v>
      </c>
      <c r="V31" s="2">
        <f t="shared" si="453"/>
        <v>273000</v>
      </c>
      <c r="W31" s="2">
        <f t="shared" si="453"/>
        <v>273000</v>
      </c>
      <c r="X31" s="2">
        <f t="shared" si="453"/>
        <v>273000</v>
      </c>
      <c r="Y31" s="2">
        <f t="shared" si="453"/>
        <v>273000</v>
      </c>
      <c r="Z31" s="2">
        <f t="shared" si="453"/>
        <v>273000</v>
      </c>
      <c r="AA31" s="2">
        <f t="shared" si="453"/>
        <v>273000</v>
      </c>
      <c r="AB31" s="5">
        <f t="shared" si="221"/>
        <v>3276000</v>
      </c>
      <c r="AC31" s="4">
        <f>P31+(P31*各種シミュレーション!$B$9)</f>
        <v>286650</v>
      </c>
      <c r="AD31" s="4">
        <f>Q31+(Q31*各種シミュレーション!$B$9)</f>
        <v>286650</v>
      </c>
      <c r="AE31" s="4">
        <f>R31+(R31*各種シミュレーション!$B$9)</f>
        <v>286650</v>
      </c>
      <c r="AF31" s="4">
        <f>S31+(S31*各種シミュレーション!$B$9)</f>
        <v>286650</v>
      </c>
      <c r="AG31" s="4">
        <f>T31+(T31*各種シミュレーション!$B$9)</f>
        <v>286650</v>
      </c>
      <c r="AH31" s="4">
        <f>U31+(U31*各種シミュレーション!$B$9)</f>
        <v>286650</v>
      </c>
      <c r="AI31" s="4">
        <f>V31+(V31*各種シミュレーション!$B$9)</f>
        <v>286650</v>
      </c>
      <c r="AJ31" s="4">
        <f>W31+(W31*各種シミュレーション!$B$9)</f>
        <v>286650</v>
      </c>
      <c r="AK31" s="4">
        <f>X31+(X31*各種シミュレーション!$B$9)</f>
        <v>286650</v>
      </c>
      <c r="AL31" s="4">
        <f>Y31+(Y31*各種シミュレーション!$B$9)</f>
        <v>286650</v>
      </c>
      <c r="AM31" s="4">
        <f>Z31+(Z31*各種シミュレーション!$B$9)</f>
        <v>286650</v>
      </c>
      <c r="AN31" s="4">
        <f>AA31+(AA31*各種シミュレーション!$B$9)</f>
        <v>286650</v>
      </c>
      <c r="AO31" s="5">
        <f t="shared" ref="AO31:AO50" si="454">SUM(AC31:AN31)</f>
        <v>3439800</v>
      </c>
      <c r="AP31" s="4">
        <f>AC31+(AC31*各種シミュレーション!$B$9)</f>
        <v>300982.5</v>
      </c>
      <c r="AQ31" s="4">
        <f>AD31+(AD31*各種シミュレーション!$B$9)</f>
        <v>300982.5</v>
      </c>
      <c r="AR31" s="4">
        <f>AE31+(AE31*各種シミュレーション!$B$9)</f>
        <v>300982.5</v>
      </c>
      <c r="AS31" s="4">
        <f>AF31+(AF31*各種シミュレーション!$B$9)</f>
        <v>300982.5</v>
      </c>
      <c r="AT31" s="4">
        <f>AG31+(AG31*各種シミュレーション!$B$9)</f>
        <v>300982.5</v>
      </c>
      <c r="AU31" s="4">
        <f>AH31+(AH31*各種シミュレーション!$B$9)</f>
        <v>300982.5</v>
      </c>
      <c r="AV31" s="4">
        <f>AI31+(AI31*各種シミュレーション!$B$9)</f>
        <v>300982.5</v>
      </c>
      <c r="AW31" s="4">
        <f>AJ31+(AJ31*各種シミュレーション!$B$9)</f>
        <v>300982.5</v>
      </c>
      <c r="AX31" s="4">
        <f>AK31+(AK31*各種シミュレーション!$B$9)</f>
        <v>300982.5</v>
      </c>
      <c r="AY31" s="4">
        <f>AL31+(AL31*各種シミュレーション!$B$9)</f>
        <v>300982.5</v>
      </c>
      <c r="AZ31" s="4">
        <f>AM31+(AM31*各種シミュレーション!$B$9)</f>
        <v>300982.5</v>
      </c>
      <c r="BA31" s="4">
        <f>AN31+(AN31*各種シミュレーション!$B$9)</f>
        <v>300982.5</v>
      </c>
      <c r="BB31" s="5">
        <f t="shared" ref="BB31:BB50" si="455">SUM(AP31:BA31)</f>
        <v>3611790</v>
      </c>
      <c r="BC31" s="4">
        <f>AP31+(AP31*各種シミュレーション!$B$9)</f>
        <v>316031.625</v>
      </c>
      <c r="BD31" s="4">
        <f>AQ31+(AQ31*各種シミュレーション!$B$9)</f>
        <v>316031.625</v>
      </c>
      <c r="BE31" s="4">
        <f>AR31+(AR31*各種シミュレーション!$B$9)</f>
        <v>316031.625</v>
      </c>
      <c r="BF31" s="4">
        <f>AS31+(AS31*各種シミュレーション!$B$9)</f>
        <v>316031.625</v>
      </c>
      <c r="BG31" s="4">
        <f>AT31+(AT31*各種シミュレーション!$B$9)</f>
        <v>316031.625</v>
      </c>
      <c r="BH31" s="4">
        <f>AU31+(AU31*各種シミュレーション!$B$9)</f>
        <v>316031.625</v>
      </c>
      <c r="BI31" s="4">
        <f>AV31+(AV31*各種シミュレーション!$B$9)</f>
        <v>316031.625</v>
      </c>
      <c r="BJ31" s="4">
        <f>AW31+(AW31*各種シミュレーション!$B$9)</f>
        <v>316031.625</v>
      </c>
      <c r="BK31" s="4">
        <f>AX31+(AX31*各種シミュレーション!$B$9)</f>
        <v>316031.625</v>
      </c>
      <c r="BL31" s="4">
        <f>AY31+(AY31*各種シミュレーション!$B$9)</f>
        <v>316031.625</v>
      </c>
      <c r="BM31" s="4">
        <f>AZ31+(AZ31*各種シミュレーション!$B$9)</f>
        <v>316031.625</v>
      </c>
      <c r="BN31" s="4">
        <f>BA31+(BA31*各種シミュレーション!$B$9)</f>
        <v>316031.625</v>
      </c>
      <c r="BO31" s="5">
        <f t="shared" ref="BO31:BO50" si="456">SUM(BC31:BN31)</f>
        <v>3792379.5</v>
      </c>
      <c r="BP31" s="4">
        <f>BC31+(BC31*各種シミュレーション!$B$9)</f>
        <v>331833.20624999999</v>
      </c>
      <c r="BQ31" s="4">
        <f>BD31+(BD31*各種シミュレーション!$B$9)</f>
        <v>331833.20624999999</v>
      </c>
      <c r="BR31" s="4">
        <f>BE31+(BE31*各種シミュレーション!$B$9)</f>
        <v>331833.20624999999</v>
      </c>
      <c r="BS31" s="4">
        <f>BF31+(BF31*各種シミュレーション!$B$9)</f>
        <v>331833.20624999999</v>
      </c>
      <c r="BT31" s="4">
        <f>BG31+(BG31*各種シミュレーション!$B$9)</f>
        <v>331833.20624999999</v>
      </c>
      <c r="BU31" s="4">
        <f>BH31+(BH31*各種シミュレーション!$B$9)</f>
        <v>331833.20624999999</v>
      </c>
      <c r="BV31" s="4">
        <f>BI31+(BI31*各種シミュレーション!$B$9)</f>
        <v>331833.20624999999</v>
      </c>
      <c r="BW31" s="4">
        <f>BJ31+(BJ31*各種シミュレーション!$B$9)</f>
        <v>331833.20624999999</v>
      </c>
      <c r="BX31" s="4">
        <f>BK31+(BK31*各種シミュレーション!$B$9)</f>
        <v>331833.20624999999</v>
      </c>
      <c r="BY31" s="4">
        <f>BL31+(BL31*各種シミュレーション!$B$9)</f>
        <v>331833.20624999999</v>
      </c>
      <c r="BZ31" s="4">
        <f>BM31+(BM31*各種シミュレーション!$B$9)</f>
        <v>331833.20624999999</v>
      </c>
      <c r="CA31" s="4">
        <f>BN31+(BN31*各種シミュレーション!$B$9)</f>
        <v>331833.20624999999</v>
      </c>
      <c r="CB31" s="5">
        <f t="shared" ref="CB31:CB50" si="457">SUM(BP31:CA31)</f>
        <v>3981998.4749999992</v>
      </c>
      <c r="CC31" s="4">
        <f>BP31+(BP31*各種シミュレーション!$B$9)</f>
        <v>348424.86656250001</v>
      </c>
      <c r="CD31" s="4">
        <f>BQ31+(BQ31*各種シミュレーション!$B$9)</f>
        <v>348424.86656250001</v>
      </c>
      <c r="CE31" s="4">
        <f>BR31+(BR31*各種シミュレーション!$B$9)</f>
        <v>348424.86656250001</v>
      </c>
      <c r="CF31" s="4">
        <f>BS31+(BS31*各種シミュレーション!$B$9)</f>
        <v>348424.86656250001</v>
      </c>
      <c r="CG31" s="4">
        <f>BT31+(BT31*各種シミュレーション!$B$9)</f>
        <v>348424.86656250001</v>
      </c>
      <c r="CH31" s="4">
        <f>BU31+(BU31*各種シミュレーション!$B$9)</f>
        <v>348424.86656250001</v>
      </c>
      <c r="CI31" s="4">
        <f>BV31+(BV31*各種シミュレーション!$B$9)</f>
        <v>348424.86656250001</v>
      </c>
      <c r="CJ31" s="4">
        <f>BW31+(BW31*各種シミュレーション!$B$9)</f>
        <v>348424.86656250001</v>
      </c>
      <c r="CK31" s="4">
        <f>BX31+(BX31*各種シミュレーション!$B$9)</f>
        <v>348424.86656250001</v>
      </c>
      <c r="CL31" s="4">
        <f>BY31+(BY31*各種シミュレーション!$B$9)</f>
        <v>348424.86656250001</v>
      </c>
      <c r="CM31" s="4">
        <f>BZ31+(BZ31*各種シミュレーション!$B$9)</f>
        <v>348424.86656250001</v>
      </c>
      <c r="CN31" s="4">
        <f>CA31+(CA31*各種シミュレーション!$B$9)</f>
        <v>348424.86656250001</v>
      </c>
      <c r="CO31" s="5">
        <f t="shared" ref="CO31:CO50" si="458">SUM(CC31:CN31)</f>
        <v>4181098.3987500011</v>
      </c>
      <c r="CP31" s="4">
        <f>CC31+(CC31*各種シミュレーション!$B$9)</f>
        <v>365846.109890625</v>
      </c>
      <c r="CQ31" s="4">
        <f>CD31+(CD31*各種シミュレーション!$B$9)</f>
        <v>365846.109890625</v>
      </c>
      <c r="CR31" s="4">
        <f>CE31+(CE31*各種シミュレーション!$B$9)</f>
        <v>365846.109890625</v>
      </c>
      <c r="CS31" s="4">
        <f>CF31+(CF31*各種シミュレーション!$B$9)</f>
        <v>365846.109890625</v>
      </c>
      <c r="CT31" s="4">
        <f>CG31+(CG31*各種シミュレーション!$B$9)</f>
        <v>365846.109890625</v>
      </c>
      <c r="CU31" s="4">
        <f>CH31+(CH31*各種シミュレーション!$B$9)</f>
        <v>365846.109890625</v>
      </c>
      <c r="CV31" s="4">
        <f>CI31+(CI31*各種シミュレーション!$B$9)</f>
        <v>365846.109890625</v>
      </c>
      <c r="CW31" s="4">
        <f>CJ31+(CJ31*各種シミュレーション!$B$9)</f>
        <v>365846.109890625</v>
      </c>
      <c r="CX31" s="4">
        <f>CK31+(CK31*各種シミュレーション!$B$9)</f>
        <v>365846.109890625</v>
      </c>
      <c r="CY31" s="4">
        <f>CL31+(CL31*各種シミュレーション!$B$9)</f>
        <v>365846.109890625</v>
      </c>
      <c r="CZ31" s="4">
        <f>CM31+(CM31*各種シミュレーション!$B$9)</f>
        <v>365846.109890625</v>
      </c>
      <c r="DA31" s="4">
        <f>CN31+(CN31*各種シミュレーション!$B$9)</f>
        <v>365846.109890625</v>
      </c>
      <c r="DB31" s="5">
        <f t="shared" ref="DB31:DB50" si="459">SUM(CP31:DA31)</f>
        <v>4390153.3186874995</v>
      </c>
      <c r="DC31" s="4">
        <f>CP31+(CP31*各種シミュレーション!$B$9)</f>
        <v>384138.41538515623</v>
      </c>
      <c r="DD31" s="4">
        <f>CQ31+(CQ31*各種シミュレーション!$B$9)</f>
        <v>384138.41538515623</v>
      </c>
      <c r="DE31" s="4">
        <f>CR31+(CR31*各種シミュレーション!$B$9)</f>
        <v>384138.41538515623</v>
      </c>
      <c r="DF31" s="4">
        <f>CS31+(CS31*各種シミュレーション!$B$9)</f>
        <v>384138.41538515623</v>
      </c>
      <c r="DG31" s="4">
        <f>CT31+(CT31*各種シミュレーション!$B$9)</f>
        <v>384138.41538515623</v>
      </c>
      <c r="DH31" s="4">
        <f>CU31+(CU31*各種シミュレーション!$B$9)</f>
        <v>384138.41538515623</v>
      </c>
      <c r="DI31" s="4">
        <f>CV31+(CV31*各種シミュレーション!$B$9)</f>
        <v>384138.41538515623</v>
      </c>
      <c r="DJ31" s="4">
        <f>CW31+(CW31*各種シミュレーション!$B$9)</f>
        <v>384138.41538515623</v>
      </c>
      <c r="DK31" s="4">
        <f>CX31+(CX31*各種シミュレーション!$B$9)</f>
        <v>384138.41538515623</v>
      </c>
      <c r="DL31" s="4">
        <f>CY31+(CY31*各種シミュレーション!$B$9)</f>
        <v>384138.41538515623</v>
      </c>
      <c r="DM31" s="4">
        <f>CZ31+(CZ31*各種シミュレーション!$B$9)</f>
        <v>384138.41538515623</v>
      </c>
      <c r="DN31" s="4">
        <f>DA31+(DA31*各種シミュレーション!$B$9)</f>
        <v>384138.41538515623</v>
      </c>
      <c r="DO31" s="5">
        <f t="shared" ref="DO31:DO50" si="460">SUM(DC31:DN31)</f>
        <v>4609660.984621875</v>
      </c>
      <c r="DP31" s="4">
        <f>DC31+(DC31*各種シミュレーション!$B$9)</f>
        <v>403345.33615441405</v>
      </c>
      <c r="DQ31" s="4">
        <f>DD31+(DD31*各種シミュレーション!$B$9)</f>
        <v>403345.33615441405</v>
      </c>
      <c r="DR31" s="4">
        <f>DE31+(DE31*各種シミュレーション!$B$9)</f>
        <v>403345.33615441405</v>
      </c>
      <c r="DS31" s="4">
        <f>DF31+(DF31*各種シミュレーション!$B$9)</f>
        <v>403345.33615441405</v>
      </c>
      <c r="DT31" s="4">
        <f>DG31+(DG31*各種シミュレーション!$B$9)</f>
        <v>403345.33615441405</v>
      </c>
      <c r="DU31" s="4">
        <f>DH31+(DH31*各種シミュレーション!$B$9)</f>
        <v>403345.33615441405</v>
      </c>
      <c r="DV31" s="4">
        <f>DI31+(DI31*各種シミュレーション!$B$9)</f>
        <v>403345.33615441405</v>
      </c>
      <c r="DW31" s="4">
        <f>DJ31+(DJ31*各種シミュレーション!$B$9)</f>
        <v>403345.33615441405</v>
      </c>
      <c r="DX31" s="4">
        <f>DK31+(DK31*各種シミュレーション!$B$9)</f>
        <v>403345.33615441405</v>
      </c>
      <c r="DY31" s="4">
        <f>DL31+(DL31*各種シミュレーション!$B$9)</f>
        <v>403345.33615441405</v>
      </c>
      <c r="DZ31" s="4">
        <f>DM31+(DM31*各種シミュレーション!$B$9)</f>
        <v>403345.33615441405</v>
      </c>
      <c r="EA31" s="4">
        <f>DN31+(DN31*各種シミュレーション!$B$9)</f>
        <v>403345.33615441405</v>
      </c>
      <c r="EB31" s="6">
        <f t="shared" ref="EB31:EB50" si="461">SUM(DP31:EA31)</f>
        <v>4840144.0338529684</v>
      </c>
    </row>
    <row r="32" spans="1:132" s="7" customFormat="1" ht="24" customHeight="1">
      <c r="A32" s="193"/>
      <c r="B32" s="176" t="s">
        <v>190</v>
      </c>
      <c r="C32" s="2"/>
      <c r="D32" s="194">
        <f>各種シミュレーション!$B$10*160*0.5</f>
        <v>96000</v>
      </c>
      <c r="E32" s="194">
        <f>各種シミュレーション!$B$10*160</f>
        <v>192000</v>
      </c>
      <c r="F32" s="194">
        <f>各種シミュレーション!$B$10*160</f>
        <v>192000</v>
      </c>
      <c r="G32" s="194">
        <f>各種シミュレーション!$B$10*160</f>
        <v>192000</v>
      </c>
      <c r="H32" s="194">
        <f>各種シミュレーション!$B$10*160</f>
        <v>192000</v>
      </c>
      <c r="I32" s="194">
        <f>各種シミュレーション!$B$10*160</f>
        <v>192000</v>
      </c>
      <c r="J32" s="194">
        <f>各種シミュレーション!$B$10*160</f>
        <v>192000</v>
      </c>
      <c r="K32" s="194">
        <f>各種シミュレーション!$B$10*160</f>
        <v>192000</v>
      </c>
      <c r="L32" s="194">
        <f>各種シミュレーション!$B$10*160</f>
        <v>192000</v>
      </c>
      <c r="M32" s="194">
        <f>各種シミュレーション!$B$10*160</f>
        <v>192000</v>
      </c>
      <c r="N32" s="195">
        <f>各種シミュレーション!$B$10*160</f>
        <v>192000</v>
      </c>
      <c r="O32" s="192">
        <f>SUM(C32:N32)</f>
        <v>2016000</v>
      </c>
      <c r="P32" s="196">
        <f>各種シミュレーション!$B$10*160</f>
        <v>192000</v>
      </c>
      <c r="Q32" s="194">
        <f>各種シミュレーション!$B$10*160</f>
        <v>192000</v>
      </c>
      <c r="R32" s="194">
        <f>各種シミュレーション!$B$10*160</f>
        <v>192000</v>
      </c>
      <c r="S32" s="194">
        <f>各種シミュレーション!$B$10*160</f>
        <v>192000</v>
      </c>
      <c r="T32" s="194">
        <f>各種シミュレーション!$B$10*160</f>
        <v>192000</v>
      </c>
      <c r="U32" s="194">
        <f>各種シミュレーション!$B$10*160</f>
        <v>192000</v>
      </c>
      <c r="V32" s="194">
        <f>各種シミュレーション!$B$10*160</f>
        <v>192000</v>
      </c>
      <c r="W32" s="194">
        <f>各種シミュレーション!$B$10*160</f>
        <v>192000</v>
      </c>
      <c r="X32" s="194">
        <f>各種シミュレーション!$B$10*160</f>
        <v>192000</v>
      </c>
      <c r="Y32" s="194">
        <f>各種シミュレーション!$B$10*160</f>
        <v>192000</v>
      </c>
      <c r="Z32" s="194">
        <f>各種シミュレーション!$B$10*160</f>
        <v>192000</v>
      </c>
      <c r="AA32" s="195">
        <f>各種シミュレーション!$B$10*160</f>
        <v>192000</v>
      </c>
      <c r="AB32" s="5">
        <f t="shared" si="221"/>
        <v>2304000</v>
      </c>
      <c r="AC32" s="196">
        <f>各種シミュレーション!$B$10*160</f>
        <v>192000</v>
      </c>
      <c r="AD32" s="194">
        <f>各種シミュレーション!$B$10*160</f>
        <v>192000</v>
      </c>
      <c r="AE32" s="194">
        <f>各種シミュレーション!$B$10*160</f>
        <v>192000</v>
      </c>
      <c r="AF32" s="194">
        <f>各種シミュレーション!$B$10*160</f>
        <v>192000</v>
      </c>
      <c r="AG32" s="194">
        <f>各種シミュレーション!$B$10*160</f>
        <v>192000</v>
      </c>
      <c r="AH32" s="194">
        <f>各種シミュレーション!$B$10*160</f>
        <v>192000</v>
      </c>
      <c r="AI32" s="194">
        <f>各種シミュレーション!$B$10*160</f>
        <v>192000</v>
      </c>
      <c r="AJ32" s="194">
        <f>各種シミュレーション!$B$10*160</f>
        <v>192000</v>
      </c>
      <c r="AK32" s="194">
        <f>各種シミュレーション!$B$10*160</f>
        <v>192000</v>
      </c>
      <c r="AL32" s="194">
        <f>各種シミュレーション!$B$10*160</f>
        <v>192000</v>
      </c>
      <c r="AM32" s="194">
        <f>各種シミュレーション!$B$10*160</f>
        <v>192000</v>
      </c>
      <c r="AN32" s="195">
        <f>各種シミュレーション!$B$10*160</f>
        <v>192000</v>
      </c>
      <c r="AO32" s="5">
        <f t="shared" si="454"/>
        <v>2304000</v>
      </c>
      <c r="AP32" s="196">
        <f>各種シミュレーション!$B$10*160</f>
        <v>192000</v>
      </c>
      <c r="AQ32" s="194">
        <f>各種シミュレーション!$B$10*160</f>
        <v>192000</v>
      </c>
      <c r="AR32" s="194">
        <f>各種シミュレーション!$B$10*160</f>
        <v>192000</v>
      </c>
      <c r="AS32" s="194">
        <f>各種シミュレーション!$B$10*160</f>
        <v>192000</v>
      </c>
      <c r="AT32" s="194">
        <f>各種シミュレーション!$B$10*160</f>
        <v>192000</v>
      </c>
      <c r="AU32" s="194">
        <f>各種シミュレーション!$B$10*160</f>
        <v>192000</v>
      </c>
      <c r="AV32" s="194">
        <f>各種シミュレーション!$B$10*160</f>
        <v>192000</v>
      </c>
      <c r="AW32" s="194">
        <f>各種シミュレーション!$B$10*160</f>
        <v>192000</v>
      </c>
      <c r="AX32" s="194">
        <f>各種シミュレーション!$B$10*160</f>
        <v>192000</v>
      </c>
      <c r="AY32" s="194">
        <f>各種シミュレーション!$B$10*160</f>
        <v>192000</v>
      </c>
      <c r="AZ32" s="194">
        <f>各種シミュレーション!$B$10*160</f>
        <v>192000</v>
      </c>
      <c r="BA32" s="195">
        <f>各種シミュレーション!$B$10*160</f>
        <v>192000</v>
      </c>
      <c r="BB32" s="5">
        <f t="shared" si="455"/>
        <v>2304000</v>
      </c>
      <c r="BC32" s="196">
        <f>各種シミュレーション!$B$10*160</f>
        <v>192000</v>
      </c>
      <c r="BD32" s="194">
        <f>各種シミュレーション!$B$10*160</f>
        <v>192000</v>
      </c>
      <c r="BE32" s="194">
        <f>各種シミュレーション!$B$10*160</f>
        <v>192000</v>
      </c>
      <c r="BF32" s="194">
        <f>各種シミュレーション!$B$10*160</f>
        <v>192000</v>
      </c>
      <c r="BG32" s="194">
        <f>各種シミュレーション!$B$10*160</f>
        <v>192000</v>
      </c>
      <c r="BH32" s="194">
        <f>各種シミュレーション!$B$10*160</f>
        <v>192000</v>
      </c>
      <c r="BI32" s="194">
        <f>各種シミュレーション!$B$10*160</f>
        <v>192000</v>
      </c>
      <c r="BJ32" s="194">
        <f>各種シミュレーション!$B$10*160</f>
        <v>192000</v>
      </c>
      <c r="BK32" s="194">
        <f>各種シミュレーション!$B$10*160</f>
        <v>192000</v>
      </c>
      <c r="BL32" s="194">
        <f>各種シミュレーション!$B$10*160</f>
        <v>192000</v>
      </c>
      <c r="BM32" s="194">
        <f>各種シミュレーション!$B$10*160</f>
        <v>192000</v>
      </c>
      <c r="BN32" s="195">
        <f>各種シミュレーション!$B$10*160</f>
        <v>192000</v>
      </c>
      <c r="BO32" s="5">
        <f t="shared" si="456"/>
        <v>2304000</v>
      </c>
      <c r="BP32" s="196">
        <f>各種シミュレーション!$B$10*160</f>
        <v>192000</v>
      </c>
      <c r="BQ32" s="194">
        <f>各種シミュレーション!$B$10*160</f>
        <v>192000</v>
      </c>
      <c r="BR32" s="194">
        <f>各種シミュレーション!$B$10*160</f>
        <v>192000</v>
      </c>
      <c r="BS32" s="194">
        <f>各種シミュレーション!$B$10*160</f>
        <v>192000</v>
      </c>
      <c r="BT32" s="194">
        <f>各種シミュレーション!$B$10*160</f>
        <v>192000</v>
      </c>
      <c r="BU32" s="194">
        <f>各種シミュレーション!$B$10*160</f>
        <v>192000</v>
      </c>
      <c r="BV32" s="194">
        <f>各種シミュレーション!$B$10*160</f>
        <v>192000</v>
      </c>
      <c r="BW32" s="194">
        <f>各種シミュレーション!$B$10*160</f>
        <v>192000</v>
      </c>
      <c r="BX32" s="194">
        <f>各種シミュレーション!$B$10*160</f>
        <v>192000</v>
      </c>
      <c r="BY32" s="194">
        <f>各種シミュレーション!$B$10*160</f>
        <v>192000</v>
      </c>
      <c r="BZ32" s="194">
        <f>各種シミュレーション!$B$10*160</f>
        <v>192000</v>
      </c>
      <c r="CA32" s="195">
        <f>各種シミュレーション!$B$10*160</f>
        <v>192000</v>
      </c>
      <c r="CB32" s="5">
        <f t="shared" si="457"/>
        <v>2304000</v>
      </c>
      <c r="CC32" s="196">
        <f>各種シミュレーション!$B$10*160</f>
        <v>192000</v>
      </c>
      <c r="CD32" s="194">
        <f>各種シミュレーション!$B$10*160</f>
        <v>192000</v>
      </c>
      <c r="CE32" s="194">
        <f>各種シミュレーション!$B$10*160</f>
        <v>192000</v>
      </c>
      <c r="CF32" s="194">
        <f>各種シミュレーション!$B$10*160</f>
        <v>192000</v>
      </c>
      <c r="CG32" s="194">
        <f>各種シミュレーション!$B$10*160</f>
        <v>192000</v>
      </c>
      <c r="CH32" s="194">
        <f>各種シミュレーション!$B$10*160</f>
        <v>192000</v>
      </c>
      <c r="CI32" s="194">
        <f>各種シミュレーション!$B$10*160</f>
        <v>192000</v>
      </c>
      <c r="CJ32" s="194">
        <f>各種シミュレーション!$B$10*160</f>
        <v>192000</v>
      </c>
      <c r="CK32" s="194">
        <f>各種シミュレーション!$B$10*160</f>
        <v>192000</v>
      </c>
      <c r="CL32" s="194">
        <f>各種シミュレーション!$B$10*160</f>
        <v>192000</v>
      </c>
      <c r="CM32" s="194">
        <f>各種シミュレーション!$B$10*160</f>
        <v>192000</v>
      </c>
      <c r="CN32" s="195">
        <f>各種シミュレーション!$B$10*160</f>
        <v>192000</v>
      </c>
      <c r="CO32" s="5">
        <f t="shared" si="458"/>
        <v>2304000</v>
      </c>
      <c r="CP32" s="196">
        <f>各種シミュレーション!$B$10*160</f>
        <v>192000</v>
      </c>
      <c r="CQ32" s="194">
        <f>各種シミュレーション!$B$10*160</f>
        <v>192000</v>
      </c>
      <c r="CR32" s="194">
        <f>各種シミュレーション!$B$10*160</f>
        <v>192000</v>
      </c>
      <c r="CS32" s="194">
        <f>各種シミュレーション!$B$10*160</f>
        <v>192000</v>
      </c>
      <c r="CT32" s="194">
        <f>各種シミュレーション!$B$10*160</f>
        <v>192000</v>
      </c>
      <c r="CU32" s="194">
        <f>各種シミュレーション!$B$10*160</f>
        <v>192000</v>
      </c>
      <c r="CV32" s="194">
        <f>各種シミュレーション!$B$10*160</f>
        <v>192000</v>
      </c>
      <c r="CW32" s="194">
        <f>各種シミュレーション!$B$10*160</f>
        <v>192000</v>
      </c>
      <c r="CX32" s="194">
        <f>各種シミュレーション!$B$10*160</f>
        <v>192000</v>
      </c>
      <c r="CY32" s="194">
        <f>各種シミュレーション!$B$10*160</f>
        <v>192000</v>
      </c>
      <c r="CZ32" s="194">
        <f>各種シミュレーション!$B$10*160</f>
        <v>192000</v>
      </c>
      <c r="DA32" s="195">
        <f>各種シミュレーション!$B$10*160</f>
        <v>192000</v>
      </c>
      <c r="DB32" s="5">
        <f t="shared" si="459"/>
        <v>2304000</v>
      </c>
      <c r="DC32" s="196">
        <f>各種シミュレーション!$B$10*160</f>
        <v>192000</v>
      </c>
      <c r="DD32" s="194">
        <f>各種シミュレーション!$B$10*160</f>
        <v>192000</v>
      </c>
      <c r="DE32" s="194">
        <f>各種シミュレーション!$B$10*160</f>
        <v>192000</v>
      </c>
      <c r="DF32" s="194">
        <f>各種シミュレーション!$B$10*160</f>
        <v>192000</v>
      </c>
      <c r="DG32" s="194">
        <f>各種シミュレーション!$B$10*160</f>
        <v>192000</v>
      </c>
      <c r="DH32" s="194">
        <f>各種シミュレーション!$B$10*160</f>
        <v>192000</v>
      </c>
      <c r="DI32" s="194">
        <f>各種シミュレーション!$B$10*160</f>
        <v>192000</v>
      </c>
      <c r="DJ32" s="194">
        <f>各種シミュレーション!$B$10*160</f>
        <v>192000</v>
      </c>
      <c r="DK32" s="194">
        <f>各種シミュレーション!$B$10*160</f>
        <v>192000</v>
      </c>
      <c r="DL32" s="194">
        <f>各種シミュレーション!$B$10*160</f>
        <v>192000</v>
      </c>
      <c r="DM32" s="194">
        <f>各種シミュレーション!$B$10*160</f>
        <v>192000</v>
      </c>
      <c r="DN32" s="195">
        <f>各種シミュレーション!$B$10*160</f>
        <v>192000</v>
      </c>
      <c r="DO32" s="5">
        <f t="shared" si="460"/>
        <v>2304000</v>
      </c>
      <c r="DP32" s="196">
        <f>各種シミュレーション!$B$10*160</f>
        <v>192000</v>
      </c>
      <c r="DQ32" s="194">
        <f>各種シミュレーション!$B$10*160</f>
        <v>192000</v>
      </c>
      <c r="DR32" s="194">
        <f>各種シミュレーション!$B$10*160</f>
        <v>192000</v>
      </c>
      <c r="DS32" s="194">
        <f>各種シミュレーション!$B$10*160</f>
        <v>192000</v>
      </c>
      <c r="DT32" s="194">
        <f>各種シミュレーション!$B$10*160</f>
        <v>192000</v>
      </c>
      <c r="DU32" s="194">
        <f>各種シミュレーション!$B$10*160</f>
        <v>192000</v>
      </c>
      <c r="DV32" s="194">
        <f>各種シミュレーション!$B$10*160</f>
        <v>192000</v>
      </c>
      <c r="DW32" s="194">
        <f>各種シミュレーション!$B$10*160</f>
        <v>192000</v>
      </c>
      <c r="DX32" s="194">
        <f>各種シミュレーション!$B$10*160</f>
        <v>192000</v>
      </c>
      <c r="DY32" s="194">
        <f>各種シミュレーション!$B$10*160</f>
        <v>192000</v>
      </c>
      <c r="DZ32" s="194">
        <f>各種シミュレーション!$B$10*160</f>
        <v>192000</v>
      </c>
      <c r="EA32" s="195">
        <f>各種シミュレーション!$B$10*160</f>
        <v>192000</v>
      </c>
      <c r="EB32" s="6">
        <f t="shared" si="461"/>
        <v>2304000</v>
      </c>
    </row>
    <row r="33" spans="1:132" s="7" customFormat="1" ht="24" customHeight="1">
      <c r="A33" s="193"/>
      <c r="B33" s="176" t="s">
        <v>191</v>
      </c>
      <c r="C33" s="2"/>
      <c r="D33" s="194">
        <f>各種シミュレーション!$B$11*128*0.5</f>
        <v>76800</v>
      </c>
      <c r="E33" s="194">
        <f>各種シミュレーション!$B$11*128</f>
        <v>153600</v>
      </c>
      <c r="F33" s="194">
        <f>各種シミュレーション!$B$11*128</f>
        <v>153600</v>
      </c>
      <c r="G33" s="194">
        <f>各種シミュレーション!$B$11*128</f>
        <v>153600</v>
      </c>
      <c r="H33" s="194">
        <f>各種シミュレーション!$B$11*128</f>
        <v>153600</v>
      </c>
      <c r="I33" s="194">
        <f>各種シミュレーション!$B$11*128</f>
        <v>153600</v>
      </c>
      <c r="J33" s="194">
        <f>各種シミュレーション!$B$11*128</f>
        <v>153600</v>
      </c>
      <c r="K33" s="194">
        <f>各種シミュレーション!$B$11*128</f>
        <v>153600</v>
      </c>
      <c r="L33" s="194">
        <f>各種シミュレーション!$B$11*128</f>
        <v>153600</v>
      </c>
      <c r="M33" s="194">
        <f>各種シミュレーション!$B$11*128</f>
        <v>153600</v>
      </c>
      <c r="N33" s="195">
        <f>各種シミュレーション!$B$11*128</f>
        <v>153600</v>
      </c>
      <c r="O33" s="192">
        <f>SUM(C33:N33)</f>
        <v>1612800</v>
      </c>
      <c r="P33" s="196">
        <f>各種シミュレーション!$B$11*128</f>
        <v>153600</v>
      </c>
      <c r="Q33" s="194">
        <f>各種シミュレーション!$B$11*128</f>
        <v>153600</v>
      </c>
      <c r="R33" s="194">
        <f>各種シミュレーション!$B$11*128</f>
        <v>153600</v>
      </c>
      <c r="S33" s="194">
        <f>各種シミュレーション!$B$11*128</f>
        <v>153600</v>
      </c>
      <c r="T33" s="194">
        <f>各種シミュレーション!$B$11*128</f>
        <v>153600</v>
      </c>
      <c r="U33" s="194">
        <f>各種シミュレーション!$B$11*128</f>
        <v>153600</v>
      </c>
      <c r="V33" s="194">
        <f>各種シミュレーション!$B$11*128</f>
        <v>153600</v>
      </c>
      <c r="W33" s="194">
        <f>各種シミュレーション!$B$11*128</f>
        <v>153600</v>
      </c>
      <c r="X33" s="194">
        <f>各種シミュレーション!$B$11*128</f>
        <v>153600</v>
      </c>
      <c r="Y33" s="194">
        <f>各種シミュレーション!$B$11*128</f>
        <v>153600</v>
      </c>
      <c r="Z33" s="194">
        <f>各種シミュレーション!$B$11*128</f>
        <v>153600</v>
      </c>
      <c r="AA33" s="195">
        <f>各種シミュレーション!$B$11*128</f>
        <v>153600</v>
      </c>
      <c r="AB33" s="192">
        <f t="shared" si="221"/>
        <v>1843200</v>
      </c>
      <c r="AC33" s="196">
        <f>各種シミュレーション!$B$11*128</f>
        <v>153600</v>
      </c>
      <c r="AD33" s="194">
        <f>各種シミュレーション!$B$11*128</f>
        <v>153600</v>
      </c>
      <c r="AE33" s="194">
        <f>各種シミュレーション!$B$11*128</f>
        <v>153600</v>
      </c>
      <c r="AF33" s="194">
        <f>各種シミュレーション!$B$11*128</f>
        <v>153600</v>
      </c>
      <c r="AG33" s="194">
        <f>各種シミュレーション!$B$11*128</f>
        <v>153600</v>
      </c>
      <c r="AH33" s="194">
        <f>各種シミュレーション!$B$11*128</f>
        <v>153600</v>
      </c>
      <c r="AI33" s="194">
        <f>各種シミュレーション!$B$11*128</f>
        <v>153600</v>
      </c>
      <c r="AJ33" s="194">
        <f>各種シミュレーション!$B$11*128</f>
        <v>153600</v>
      </c>
      <c r="AK33" s="194">
        <f>各種シミュレーション!$B$11*128</f>
        <v>153600</v>
      </c>
      <c r="AL33" s="194">
        <f>各種シミュレーション!$B$11*128</f>
        <v>153600</v>
      </c>
      <c r="AM33" s="194">
        <f>各種シミュレーション!$B$11*128</f>
        <v>153600</v>
      </c>
      <c r="AN33" s="195">
        <f>各種シミュレーション!$B$11*128</f>
        <v>153600</v>
      </c>
      <c r="AO33" s="192">
        <f t="shared" si="454"/>
        <v>1843200</v>
      </c>
      <c r="AP33" s="196">
        <f>各種シミュレーション!$B$11*128</f>
        <v>153600</v>
      </c>
      <c r="AQ33" s="194">
        <f>各種シミュレーション!$B$11*128</f>
        <v>153600</v>
      </c>
      <c r="AR33" s="194">
        <f>各種シミュレーション!$B$11*128</f>
        <v>153600</v>
      </c>
      <c r="AS33" s="194">
        <f>各種シミュレーション!$B$11*128</f>
        <v>153600</v>
      </c>
      <c r="AT33" s="194">
        <f>各種シミュレーション!$B$11*128</f>
        <v>153600</v>
      </c>
      <c r="AU33" s="194">
        <f>各種シミュレーション!$B$11*128</f>
        <v>153600</v>
      </c>
      <c r="AV33" s="194">
        <f>各種シミュレーション!$B$11*128</f>
        <v>153600</v>
      </c>
      <c r="AW33" s="194">
        <f>各種シミュレーション!$B$11*128</f>
        <v>153600</v>
      </c>
      <c r="AX33" s="194">
        <f>各種シミュレーション!$B$11*128</f>
        <v>153600</v>
      </c>
      <c r="AY33" s="194">
        <f>各種シミュレーション!$B$11*128</f>
        <v>153600</v>
      </c>
      <c r="AZ33" s="194">
        <f>各種シミュレーション!$B$11*128</f>
        <v>153600</v>
      </c>
      <c r="BA33" s="195">
        <f>各種シミュレーション!$B$11*128</f>
        <v>153600</v>
      </c>
      <c r="BB33" s="192">
        <f t="shared" si="455"/>
        <v>1843200</v>
      </c>
      <c r="BC33" s="196">
        <f>各種シミュレーション!$B$11*128</f>
        <v>153600</v>
      </c>
      <c r="BD33" s="194">
        <f>各種シミュレーション!$B$11*128</f>
        <v>153600</v>
      </c>
      <c r="BE33" s="194">
        <f>各種シミュレーション!$B$11*128</f>
        <v>153600</v>
      </c>
      <c r="BF33" s="194">
        <f>各種シミュレーション!$B$11*128</f>
        <v>153600</v>
      </c>
      <c r="BG33" s="194">
        <f>各種シミュレーション!$B$11*128</f>
        <v>153600</v>
      </c>
      <c r="BH33" s="194">
        <f>各種シミュレーション!$B$11*128</f>
        <v>153600</v>
      </c>
      <c r="BI33" s="194">
        <f>各種シミュレーション!$B$11*128</f>
        <v>153600</v>
      </c>
      <c r="BJ33" s="194">
        <f>各種シミュレーション!$B$11*128</f>
        <v>153600</v>
      </c>
      <c r="BK33" s="194">
        <f>各種シミュレーション!$B$11*128</f>
        <v>153600</v>
      </c>
      <c r="BL33" s="194">
        <f>各種シミュレーション!$B$11*128</f>
        <v>153600</v>
      </c>
      <c r="BM33" s="194">
        <f>各種シミュレーション!$B$11*128</f>
        <v>153600</v>
      </c>
      <c r="BN33" s="195">
        <f>各種シミュレーション!$B$11*128</f>
        <v>153600</v>
      </c>
      <c r="BO33" s="192">
        <f t="shared" si="456"/>
        <v>1843200</v>
      </c>
      <c r="BP33" s="196">
        <f>各種シミュレーション!$B$11*128</f>
        <v>153600</v>
      </c>
      <c r="BQ33" s="194">
        <f>各種シミュレーション!$B$11*128</f>
        <v>153600</v>
      </c>
      <c r="BR33" s="194">
        <f>各種シミュレーション!$B$11*128</f>
        <v>153600</v>
      </c>
      <c r="BS33" s="194">
        <f>各種シミュレーション!$B$11*128</f>
        <v>153600</v>
      </c>
      <c r="BT33" s="194">
        <f>各種シミュレーション!$B$11*128</f>
        <v>153600</v>
      </c>
      <c r="BU33" s="194">
        <f>各種シミュレーション!$B$11*128</f>
        <v>153600</v>
      </c>
      <c r="BV33" s="194">
        <f>各種シミュレーション!$B$11*128</f>
        <v>153600</v>
      </c>
      <c r="BW33" s="194">
        <f>各種シミュレーション!$B$11*128</f>
        <v>153600</v>
      </c>
      <c r="BX33" s="194">
        <f>各種シミュレーション!$B$11*128</f>
        <v>153600</v>
      </c>
      <c r="BY33" s="194">
        <f>各種シミュレーション!$B$11*128</f>
        <v>153600</v>
      </c>
      <c r="BZ33" s="194">
        <f>各種シミュレーション!$B$11*128</f>
        <v>153600</v>
      </c>
      <c r="CA33" s="195">
        <f>各種シミュレーション!$B$11*128</f>
        <v>153600</v>
      </c>
      <c r="CB33" s="192">
        <f t="shared" si="457"/>
        <v>1843200</v>
      </c>
      <c r="CC33" s="196">
        <f>各種シミュレーション!$B$11*128</f>
        <v>153600</v>
      </c>
      <c r="CD33" s="194">
        <f>各種シミュレーション!$B$11*128</f>
        <v>153600</v>
      </c>
      <c r="CE33" s="194">
        <f>各種シミュレーション!$B$11*128</f>
        <v>153600</v>
      </c>
      <c r="CF33" s="194">
        <f>各種シミュレーション!$B$11*128</f>
        <v>153600</v>
      </c>
      <c r="CG33" s="194">
        <f>各種シミュレーション!$B$11*128</f>
        <v>153600</v>
      </c>
      <c r="CH33" s="194">
        <f>各種シミュレーション!$B$11*128</f>
        <v>153600</v>
      </c>
      <c r="CI33" s="194">
        <f>各種シミュレーション!$B$11*128</f>
        <v>153600</v>
      </c>
      <c r="CJ33" s="194">
        <f>各種シミュレーション!$B$11*128</f>
        <v>153600</v>
      </c>
      <c r="CK33" s="194">
        <f>各種シミュレーション!$B$11*128</f>
        <v>153600</v>
      </c>
      <c r="CL33" s="194">
        <f>各種シミュレーション!$B$11*128</f>
        <v>153600</v>
      </c>
      <c r="CM33" s="194">
        <f>各種シミュレーション!$B$11*128</f>
        <v>153600</v>
      </c>
      <c r="CN33" s="195">
        <f>各種シミュレーション!$B$11*128</f>
        <v>153600</v>
      </c>
      <c r="CO33" s="192">
        <f t="shared" si="458"/>
        <v>1843200</v>
      </c>
      <c r="CP33" s="196">
        <f>各種シミュレーション!$B$11*128</f>
        <v>153600</v>
      </c>
      <c r="CQ33" s="194">
        <f>各種シミュレーション!$B$11*128</f>
        <v>153600</v>
      </c>
      <c r="CR33" s="194">
        <f>各種シミュレーション!$B$11*128</f>
        <v>153600</v>
      </c>
      <c r="CS33" s="194">
        <f>各種シミュレーション!$B$11*128</f>
        <v>153600</v>
      </c>
      <c r="CT33" s="194">
        <f>各種シミュレーション!$B$11*128</f>
        <v>153600</v>
      </c>
      <c r="CU33" s="194">
        <f>各種シミュレーション!$B$11*128</f>
        <v>153600</v>
      </c>
      <c r="CV33" s="194">
        <f>各種シミュレーション!$B$11*128</f>
        <v>153600</v>
      </c>
      <c r="CW33" s="194">
        <f>各種シミュレーション!$B$11*128</f>
        <v>153600</v>
      </c>
      <c r="CX33" s="194">
        <f>各種シミュレーション!$B$11*128</f>
        <v>153600</v>
      </c>
      <c r="CY33" s="194">
        <f>各種シミュレーション!$B$11*128</f>
        <v>153600</v>
      </c>
      <c r="CZ33" s="194">
        <f>各種シミュレーション!$B$11*128</f>
        <v>153600</v>
      </c>
      <c r="DA33" s="195">
        <f>各種シミュレーション!$B$11*128</f>
        <v>153600</v>
      </c>
      <c r="DB33" s="192">
        <f t="shared" si="459"/>
        <v>1843200</v>
      </c>
      <c r="DC33" s="196">
        <f>各種シミュレーション!$B$11*128</f>
        <v>153600</v>
      </c>
      <c r="DD33" s="194">
        <f>各種シミュレーション!$B$11*128</f>
        <v>153600</v>
      </c>
      <c r="DE33" s="194">
        <f>各種シミュレーション!$B$11*128</f>
        <v>153600</v>
      </c>
      <c r="DF33" s="194">
        <f>各種シミュレーション!$B$11*128</f>
        <v>153600</v>
      </c>
      <c r="DG33" s="194">
        <f>各種シミュレーション!$B$11*128</f>
        <v>153600</v>
      </c>
      <c r="DH33" s="194">
        <f>各種シミュレーション!$B$11*128</f>
        <v>153600</v>
      </c>
      <c r="DI33" s="194">
        <f>各種シミュレーション!$B$11*128</f>
        <v>153600</v>
      </c>
      <c r="DJ33" s="194">
        <f>各種シミュレーション!$B$11*128</f>
        <v>153600</v>
      </c>
      <c r="DK33" s="194">
        <f>各種シミュレーション!$B$11*128</f>
        <v>153600</v>
      </c>
      <c r="DL33" s="194">
        <f>各種シミュレーション!$B$11*128</f>
        <v>153600</v>
      </c>
      <c r="DM33" s="194">
        <f>各種シミュレーション!$B$11*128</f>
        <v>153600</v>
      </c>
      <c r="DN33" s="195">
        <f>各種シミュレーション!$B$11*128</f>
        <v>153600</v>
      </c>
      <c r="DO33" s="192">
        <f t="shared" si="460"/>
        <v>1843200</v>
      </c>
      <c r="DP33" s="196">
        <f>各種シミュレーション!$B$11*128</f>
        <v>153600</v>
      </c>
      <c r="DQ33" s="194">
        <f>各種シミュレーション!$B$11*128</f>
        <v>153600</v>
      </c>
      <c r="DR33" s="194">
        <f>各種シミュレーション!$B$11*128</f>
        <v>153600</v>
      </c>
      <c r="DS33" s="194">
        <f>各種シミュレーション!$B$11*128</f>
        <v>153600</v>
      </c>
      <c r="DT33" s="194">
        <f>各種シミュレーション!$B$11*128</f>
        <v>153600</v>
      </c>
      <c r="DU33" s="194">
        <f>各種シミュレーション!$B$11*128</f>
        <v>153600</v>
      </c>
      <c r="DV33" s="194">
        <f>各種シミュレーション!$B$11*128</f>
        <v>153600</v>
      </c>
      <c r="DW33" s="194">
        <f>各種シミュレーション!$B$11*128</f>
        <v>153600</v>
      </c>
      <c r="DX33" s="194">
        <f>各種シミュレーション!$B$11*128</f>
        <v>153600</v>
      </c>
      <c r="DY33" s="194">
        <f>各種シミュレーション!$B$11*128</f>
        <v>153600</v>
      </c>
      <c r="DZ33" s="194">
        <f>各種シミュレーション!$B$11*128</f>
        <v>153600</v>
      </c>
      <c r="EA33" s="195">
        <f>各種シミュレーション!$B$11*128</f>
        <v>153600</v>
      </c>
      <c r="EB33" s="226">
        <f t="shared" si="461"/>
        <v>1843200</v>
      </c>
    </row>
    <row r="34" spans="1:132" s="7" customFormat="1" ht="24" customHeight="1">
      <c r="A34" s="193"/>
      <c r="B34" s="197" t="s">
        <v>192</v>
      </c>
      <c r="C34" s="2"/>
      <c r="D34" s="2">
        <f>SUM(D31:D33)*各種シミュレーション!$B$12</f>
        <v>48841.64</v>
      </c>
      <c r="E34" s="2">
        <f>SUM(E31:E33)*各種シミュレーション!$B$12</f>
        <v>97683.28</v>
      </c>
      <c r="F34" s="2">
        <f>SUM(F31:F33)*各種シミュレーション!$B$12</f>
        <v>97683.28</v>
      </c>
      <c r="G34" s="2">
        <f>SUM(G31:G33)*各種シミュレーション!$B$12</f>
        <v>97683.28</v>
      </c>
      <c r="H34" s="2">
        <f>SUM(H31:H33)*各種シミュレーション!$B$12</f>
        <v>97683.28</v>
      </c>
      <c r="I34" s="2">
        <f>SUM(I31:I33)*各種シミュレーション!$B$12</f>
        <v>97683.28</v>
      </c>
      <c r="J34" s="2">
        <f>SUM(J31:J33)*各種シミュレーション!$B$12</f>
        <v>97683.28</v>
      </c>
      <c r="K34" s="2">
        <f>SUM(K31:K33)*各種シミュレーション!$B$12</f>
        <v>97683.28</v>
      </c>
      <c r="L34" s="2">
        <f>SUM(L31:L33)*各種シミュレーション!$B$12</f>
        <v>97683.28</v>
      </c>
      <c r="M34" s="2">
        <f>SUM(M31:M33)*各種シミュレーション!$B$12</f>
        <v>97683.28</v>
      </c>
      <c r="N34" s="3">
        <f>SUM(N31:N33)*各種シミュレーション!$B$12</f>
        <v>97683.28</v>
      </c>
      <c r="O34" s="5">
        <f>SUM(C34:N34)</f>
        <v>1025674.4400000002</v>
      </c>
      <c r="P34" s="4">
        <f>SUM(P31:P33)*各種シミュレーション!$B$12</f>
        <v>99780.18</v>
      </c>
      <c r="Q34" s="2">
        <f>SUM(Q31:Q33)*各種シミュレーション!$B$12</f>
        <v>99780.18</v>
      </c>
      <c r="R34" s="2">
        <f>SUM(R31:R33)*各種シミュレーション!$B$12</f>
        <v>99780.18</v>
      </c>
      <c r="S34" s="2">
        <f>SUM(S31:S33)*各種シミュレーション!$B$12</f>
        <v>99780.18</v>
      </c>
      <c r="T34" s="2">
        <f>SUM(T31:T33)*各種シミュレーション!$B$12</f>
        <v>99780.18</v>
      </c>
      <c r="U34" s="2">
        <f>SUM(U31:U33)*各種シミュレーション!$B$12</f>
        <v>99780.18</v>
      </c>
      <c r="V34" s="2">
        <f>SUM(V31:V33)*各種シミュレーション!$B$12</f>
        <v>99780.18</v>
      </c>
      <c r="W34" s="2">
        <f>SUM(W31:W33)*各種シミュレーション!$B$12</f>
        <v>99780.18</v>
      </c>
      <c r="X34" s="2">
        <f>SUM(X31:X33)*各種シミュレーション!$B$12</f>
        <v>99780.18</v>
      </c>
      <c r="Y34" s="2">
        <f>SUM(Y31:Y33)*各種シミュレーション!$B$12</f>
        <v>99780.18</v>
      </c>
      <c r="Z34" s="2">
        <f>SUM(Z31:Z33)*各種シミュレーション!$B$12</f>
        <v>99780.18</v>
      </c>
      <c r="AA34" s="3">
        <f>SUM(AA31:AA33)*各種シミュレーション!$B$12</f>
        <v>99780.18</v>
      </c>
      <c r="AB34" s="192">
        <f>SUM(P34:AA34)</f>
        <v>1197362.1599999997</v>
      </c>
      <c r="AC34" s="4">
        <f>SUM(AC31:AC33)*各種シミュレーション!$B$12</f>
        <v>101981.925</v>
      </c>
      <c r="AD34" s="2">
        <f>SUM(AD31:AD33)*各種シミュレーション!$B$12</f>
        <v>101981.925</v>
      </c>
      <c r="AE34" s="2">
        <f>SUM(AE31:AE33)*各種シミュレーション!$B$12</f>
        <v>101981.925</v>
      </c>
      <c r="AF34" s="2">
        <f>SUM(AF31:AF33)*各種シミュレーション!$B$12</f>
        <v>101981.925</v>
      </c>
      <c r="AG34" s="2">
        <f>SUM(AG31:AG33)*各種シミュレーション!$B$12</f>
        <v>101981.925</v>
      </c>
      <c r="AH34" s="2">
        <f>SUM(AH31:AH33)*各種シミュレーション!$B$12</f>
        <v>101981.925</v>
      </c>
      <c r="AI34" s="2">
        <f>SUM(AI31:AI33)*各種シミュレーション!$B$12</f>
        <v>101981.925</v>
      </c>
      <c r="AJ34" s="2">
        <f>SUM(AJ31:AJ33)*各種シミュレーション!$B$12</f>
        <v>101981.925</v>
      </c>
      <c r="AK34" s="2">
        <f>SUM(AK31:AK33)*各種シミュレーション!$B$12</f>
        <v>101981.925</v>
      </c>
      <c r="AL34" s="2">
        <f>SUM(AL31:AL33)*各種シミュレーション!$B$12</f>
        <v>101981.925</v>
      </c>
      <c r="AM34" s="2">
        <f>SUM(AM31:AM33)*各種シミュレーション!$B$12</f>
        <v>101981.925</v>
      </c>
      <c r="AN34" s="3">
        <f>SUM(AN31:AN33)*各種シミュレーション!$B$12</f>
        <v>101981.925</v>
      </c>
      <c r="AO34" s="192">
        <f>SUM(AC34:AN34)</f>
        <v>1223783.1000000003</v>
      </c>
      <c r="AP34" s="4">
        <f>SUM(AP31:AP33)*各種シミュレーション!$B$12</f>
        <v>104293.75725</v>
      </c>
      <c r="AQ34" s="2">
        <f>SUM(AQ31:AQ33)*各種シミュレーション!$B$12</f>
        <v>104293.75725</v>
      </c>
      <c r="AR34" s="2">
        <f>SUM(AR31:AR33)*各種シミュレーション!$B$12</f>
        <v>104293.75725</v>
      </c>
      <c r="AS34" s="2">
        <f>SUM(AS31:AS33)*各種シミュレーション!$B$12</f>
        <v>104293.75725</v>
      </c>
      <c r="AT34" s="2">
        <f>SUM(AT31:AT33)*各種シミュレーション!$B$12</f>
        <v>104293.75725</v>
      </c>
      <c r="AU34" s="2">
        <f>SUM(AU31:AU33)*各種シミュレーション!$B$12</f>
        <v>104293.75725</v>
      </c>
      <c r="AV34" s="2">
        <f>SUM(AV31:AV33)*各種シミュレーション!$B$12</f>
        <v>104293.75725</v>
      </c>
      <c r="AW34" s="2">
        <f>SUM(AW31:AW33)*各種シミュレーション!$B$12</f>
        <v>104293.75725</v>
      </c>
      <c r="AX34" s="2">
        <f>SUM(AX31:AX33)*各種シミュレーション!$B$12</f>
        <v>104293.75725</v>
      </c>
      <c r="AY34" s="2">
        <f>SUM(AY31:AY33)*各種シミュレーション!$B$12</f>
        <v>104293.75725</v>
      </c>
      <c r="AZ34" s="2">
        <f>SUM(AZ31:AZ33)*各種シミュレーション!$B$12</f>
        <v>104293.75725</v>
      </c>
      <c r="BA34" s="3">
        <f>SUM(BA31:BA33)*各種シミュレーション!$B$12</f>
        <v>104293.75725</v>
      </c>
      <c r="BB34" s="192">
        <f>SUM(AP34:BA34)</f>
        <v>1251525.0870000001</v>
      </c>
      <c r="BC34" s="4">
        <f>SUM(BC31:BC33)*各種シミュレーション!$B$12</f>
        <v>106721.18111249999</v>
      </c>
      <c r="BD34" s="2">
        <f>SUM(BD31:BD33)*各種シミュレーション!$B$12</f>
        <v>106721.18111249999</v>
      </c>
      <c r="BE34" s="2">
        <f>SUM(BE31:BE33)*各種シミュレーション!$B$12</f>
        <v>106721.18111249999</v>
      </c>
      <c r="BF34" s="2">
        <f>SUM(BF31:BF33)*各種シミュレーション!$B$12</f>
        <v>106721.18111249999</v>
      </c>
      <c r="BG34" s="2">
        <f>SUM(BG31:BG33)*各種シミュレーション!$B$12</f>
        <v>106721.18111249999</v>
      </c>
      <c r="BH34" s="2">
        <f>SUM(BH31:BH33)*各種シミュレーション!$B$12</f>
        <v>106721.18111249999</v>
      </c>
      <c r="BI34" s="2">
        <f>SUM(BI31:BI33)*各種シミュレーション!$B$12</f>
        <v>106721.18111249999</v>
      </c>
      <c r="BJ34" s="2">
        <f>SUM(BJ31:BJ33)*各種シミュレーション!$B$12</f>
        <v>106721.18111249999</v>
      </c>
      <c r="BK34" s="2">
        <f>SUM(BK31:BK33)*各種シミュレーション!$B$12</f>
        <v>106721.18111249999</v>
      </c>
      <c r="BL34" s="2">
        <f>SUM(BL31:BL33)*各種シミュレーション!$B$12</f>
        <v>106721.18111249999</v>
      </c>
      <c r="BM34" s="2">
        <f>SUM(BM31:BM33)*各種シミュレーション!$B$12</f>
        <v>106721.18111249999</v>
      </c>
      <c r="BN34" s="3">
        <f>SUM(BN31:BN33)*各種シミュレーション!$B$12</f>
        <v>106721.18111249999</v>
      </c>
      <c r="BO34" s="192">
        <f>SUM(BC34:BN34)</f>
        <v>1280654.1733499998</v>
      </c>
      <c r="BP34" s="4">
        <f>SUM(BP31:BP33)*各種シミュレーション!$B$12</f>
        <v>109269.97616812501</v>
      </c>
      <c r="BQ34" s="2">
        <f>SUM(BQ31:BQ33)*各種シミュレーション!$B$12</f>
        <v>109269.97616812501</v>
      </c>
      <c r="BR34" s="2">
        <f>SUM(BR31:BR33)*各種シミュレーション!$B$12</f>
        <v>109269.97616812501</v>
      </c>
      <c r="BS34" s="2">
        <f>SUM(BS31:BS33)*各種シミュレーション!$B$12</f>
        <v>109269.97616812501</v>
      </c>
      <c r="BT34" s="2">
        <f>SUM(BT31:BT33)*各種シミュレーション!$B$12</f>
        <v>109269.97616812501</v>
      </c>
      <c r="BU34" s="2">
        <f>SUM(BU31:BU33)*各種シミュレーション!$B$12</f>
        <v>109269.97616812501</v>
      </c>
      <c r="BV34" s="2">
        <f>SUM(BV31:BV33)*各種シミュレーション!$B$12</f>
        <v>109269.97616812501</v>
      </c>
      <c r="BW34" s="2">
        <f>SUM(BW31:BW33)*各種シミュレーション!$B$12</f>
        <v>109269.97616812501</v>
      </c>
      <c r="BX34" s="2">
        <f>SUM(BX31:BX33)*各種シミュレーション!$B$12</f>
        <v>109269.97616812501</v>
      </c>
      <c r="BY34" s="2">
        <f>SUM(BY31:BY33)*各種シミュレーション!$B$12</f>
        <v>109269.97616812501</v>
      </c>
      <c r="BZ34" s="2">
        <f>SUM(BZ31:BZ33)*各種シミュレーション!$B$12</f>
        <v>109269.97616812501</v>
      </c>
      <c r="CA34" s="3">
        <f>SUM(CA31:CA33)*各種シミュレーション!$B$12</f>
        <v>109269.97616812501</v>
      </c>
      <c r="CB34" s="192">
        <f>SUM(BP34:CA34)</f>
        <v>1311239.7140175002</v>
      </c>
      <c r="CC34" s="4">
        <f>SUM(CC31:CC33)*各種シミュレーション!$B$12</f>
        <v>111946.21097653125</v>
      </c>
      <c r="CD34" s="2">
        <f>SUM(CD31:CD33)*各種シミュレーション!$B$12</f>
        <v>111946.21097653125</v>
      </c>
      <c r="CE34" s="2">
        <f>SUM(CE31:CE33)*各種シミュレーション!$B$12</f>
        <v>111946.21097653125</v>
      </c>
      <c r="CF34" s="2">
        <f>SUM(CF31:CF33)*各種シミュレーション!$B$12</f>
        <v>111946.21097653125</v>
      </c>
      <c r="CG34" s="2">
        <f>SUM(CG31:CG33)*各種シミュレーション!$B$12</f>
        <v>111946.21097653125</v>
      </c>
      <c r="CH34" s="2">
        <f>SUM(CH31:CH33)*各種シミュレーション!$B$12</f>
        <v>111946.21097653125</v>
      </c>
      <c r="CI34" s="2">
        <f>SUM(CI31:CI33)*各種シミュレーション!$B$12</f>
        <v>111946.21097653125</v>
      </c>
      <c r="CJ34" s="2">
        <f>SUM(CJ31:CJ33)*各種シミュレーション!$B$12</f>
        <v>111946.21097653125</v>
      </c>
      <c r="CK34" s="2">
        <f>SUM(CK31:CK33)*各種シミュレーション!$B$12</f>
        <v>111946.21097653125</v>
      </c>
      <c r="CL34" s="2">
        <f>SUM(CL31:CL33)*各種シミュレーション!$B$12</f>
        <v>111946.21097653125</v>
      </c>
      <c r="CM34" s="2">
        <f>SUM(CM31:CM33)*各種シミュレーション!$B$12</f>
        <v>111946.21097653125</v>
      </c>
      <c r="CN34" s="3">
        <f>SUM(CN31:CN33)*各種シミュレーション!$B$12</f>
        <v>111946.21097653125</v>
      </c>
      <c r="CO34" s="192">
        <f>SUM(CC34:CN34)</f>
        <v>1343354.5317183749</v>
      </c>
      <c r="CP34" s="4">
        <f>SUM(CP31:CP33)*各種シミュレーション!$B$12</f>
        <v>114756.25752535781</v>
      </c>
      <c r="CQ34" s="2">
        <f>SUM(CQ31:CQ33)*各種シミュレーション!$B$12</f>
        <v>114756.25752535781</v>
      </c>
      <c r="CR34" s="2">
        <f>SUM(CR31:CR33)*各種シミュレーション!$B$12</f>
        <v>114756.25752535781</v>
      </c>
      <c r="CS34" s="2">
        <f>SUM(CS31:CS33)*各種シミュレーション!$B$12</f>
        <v>114756.25752535781</v>
      </c>
      <c r="CT34" s="2">
        <f>SUM(CT31:CT33)*各種シミュレーション!$B$12</f>
        <v>114756.25752535781</v>
      </c>
      <c r="CU34" s="2">
        <f>SUM(CU31:CU33)*各種シミュレーション!$B$12</f>
        <v>114756.25752535781</v>
      </c>
      <c r="CV34" s="2">
        <f>SUM(CV31:CV33)*各種シミュレーション!$B$12</f>
        <v>114756.25752535781</v>
      </c>
      <c r="CW34" s="2">
        <f>SUM(CW31:CW33)*各種シミュレーション!$B$12</f>
        <v>114756.25752535781</v>
      </c>
      <c r="CX34" s="2">
        <f>SUM(CX31:CX33)*各種シミュレーション!$B$12</f>
        <v>114756.25752535781</v>
      </c>
      <c r="CY34" s="2">
        <f>SUM(CY31:CY33)*各種シミュレーション!$B$12</f>
        <v>114756.25752535781</v>
      </c>
      <c r="CZ34" s="2">
        <f>SUM(CZ31:CZ33)*各種シミュレーション!$B$12</f>
        <v>114756.25752535781</v>
      </c>
      <c r="DA34" s="3">
        <f>SUM(DA31:DA33)*各種シミュレーション!$B$12</f>
        <v>114756.25752535781</v>
      </c>
      <c r="DB34" s="192">
        <f>SUM(CP34:DA34)</f>
        <v>1377075.0903042937</v>
      </c>
      <c r="DC34" s="4">
        <f>SUM(DC31:DC33)*各種シミュレーション!$B$12</f>
        <v>117706.80640162568</v>
      </c>
      <c r="DD34" s="2">
        <f>SUM(DD31:DD33)*各種シミュレーション!$B$12</f>
        <v>117706.80640162568</v>
      </c>
      <c r="DE34" s="2">
        <f>SUM(DE31:DE33)*各種シミュレーション!$B$12</f>
        <v>117706.80640162568</v>
      </c>
      <c r="DF34" s="2">
        <f>SUM(DF31:DF33)*各種シミュレーション!$B$12</f>
        <v>117706.80640162568</v>
      </c>
      <c r="DG34" s="2">
        <f>SUM(DG31:DG33)*各種シミュレーション!$B$12</f>
        <v>117706.80640162568</v>
      </c>
      <c r="DH34" s="2">
        <f>SUM(DH31:DH33)*各種シミュレーション!$B$12</f>
        <v>117706.80640162568</v>
      </c>
      <c r="DI34" s="2">
        <f>SUM(DI31:DI33)*各種シミュレーション!$B$12</f>
        <v>117706.80640162568</v>
      </c>
      <c r="DJ34" s="2">
        <f>SUM(DJ31:DJ33)*各種シミュレーション!$B$12</f>
        <v>117706.80640162568</v>
      </c>
      <c r="DK34" s="2">
        <f>SUM(DK31:DK33)*各種シミュレーション!$B$12</f>
        <v>117706.80640162568</v>
      </c>
      <c r="DL34" s="2">
        <f>SUM(DL31:DL33)*各種シミュレーション!$B$12</f>
        <v>117706.80640162568</v>
      </c>
      <c r="DM34" s="2">
        <f>SUM(DM31:DM33)*各種シミュレーション!$B$12</f>
        <v>117706.80640162568</v>
      </c>
      <c r="DN34" s="3">
        <f>SUM(DN31:DN33)*各種シミュレーション!$B$12</f>
        <v>117706.80640162568</v>
      </c>
      <c r="DO34" s="192">
        <f>SUM(DC34:DN34)</f>
        <v>1412481.6768195087</v>
      </c>
      <c r="DP34" s="4">
        <f>SUM(DP31:DP33)*各種シミュレーション!$B$12</f>
        <v>120804.88272170699</v>
      </c>
      <c r="DQ34" s="2">
        <f>SUM(DQ31:DQ33)*各種シミュレーション!$B$12</f>
        <v>120804.88272170699</v>
      </c>
      <c r="DR34" s="2">
        <f>SUM(DR31:DR33)*各種シミュレーション!$B$12</f>
        <v>120804.88272170699</v>
      </c>
      <c r="DS34" s="2">
        <f>SUM(DS31:DS33)*各種シミュレーション!$B$12</f>
        <v>120804.88272170699</v>
      </c>
      <c r="DT34" s="2">
        <f>SUM(DT31:DT33)*各種シミュレーション!$B$12</f>
        <v>120804.88272170699</v>
      </c>
      <c r="DU34" s="2">
        <f>SUM(DU31:DU33)*各種シミュレーション!$B$12</f>
        <v>120804.88272170699</v>
      </c>
      <c r="DV34" s="2">
        <f>SUM(DV31:DV33)*各種シミュレーション!$B$12</f>
        <v>120804.88272170699</v>
      </c>
      <c r="DW34" s="2">
        <f>SUM(DW31:DW33)*各種シミュレーション!$B$12</f>
        <v>120804.88272170699</v>
      </c>
      <c r="DX34" s="2">
        <f>SUM(DX31:DX33)*各種シミュレーション!$B$12</f>
        <v>120804.88272170699</v>
      </c>
      <c r="DY34" s="2">
        <f>SUM(DY31:DY33)*各種シミュレーション!$B$12</f>
        <v>120804.88272170699</v>
      </c>
      <c r="DZ34" s="2">
        <f>SUM(DZ31:DZ33)*各種シミュレーション!$B$12</f>
        <v>120804.88272170699</v>
      </c>
      <c r="EA34" s="3">
        <f>SUM(EA31:EA33)*各種シミュレーション!$B$12</f>
        <v>120804.88272170699</v>
      </c>
      <c r="EB34" s="226">
        <f>SUM(DP34:EA34)</f>
        <v>1449658.5926604839</v>
      </c>
    </row>
    <row r="35" spans="1:132" s="7" customFormat="1" ht="24" customHeight="1">
      <c r="A35" s="193"/>
      <c r="B35" s="176" t="s">
        <v>193</v>
      </c>
      <c r="C35" s="2"/>
      <c r="D35" s="2">
        <f>SUM(各種シミュレーション!$B$13:$B$15)*0.5</f>
        <v>7500</v>
      </c>
      <c r="E35" s="2">
        <f>SUM(各種シミュレーション!$B$13:$B$15)</f>
        <v>15000</v>
      </c>
      <c r="F35" s="2">
        <f>SUM(各種シミュレーション!$B$13:$B$15)</f>
        <v>15000</v>
      </c>
      <c r="G35" s="2">
        <f>SUM(各種シミュレーション!$B$13:$B$15)</f>
        <v>15000</v>
      </c>
      <c r="H35" s="2">
        <f>SUM(各種シミュレーション!$B$13:$B$15)</f>
        <v>15000</v>
      </c>
      <c r="I35" s="2">
        <f>SUM(各種シミュレーション!$B$13:$B$15)</f>
        <v>15000</v>
      </c>
      <c r="J35" s="2">
        <f>SUM(各種シミュレーション!$B$13:$B$15)</f>
        <v>15000</v>
      </c>
      <c r="K35" s="2">
        <f>SUM(各種シミュレーション!$B$13:$B$15)</f>
        <v>15000</v>
      </c>
      <c r="L35" s="2">
        <f>SUM(各種シミュレーション!$B$13:$B$15)</f>
        <v>15000</v>
      </c>
      <c r="M35" s="2">
        <f>SUM(各種シミュレーション!$B$13:$B$15)</f>
        <v>15000</v>
      </c>
      <c r="N35" s="3">
        <f>SUM(各種シミュレーション!$B$13:$B$15)</f>
        <v>15000</v>
      </c>
      <c r="O35" s="5">
        <f>SUM(C35:N35)</f>
        <v>157500</v>
      </c>
      <c r="P35" s="4">
        <f>SUM(各種シミュレーション!$B$13:$B$15)</f>
        <v>15000</v>
      </c>
      <c r="Q35" s="2">
        <f>SUM(各種シミュレーション!$B$13:$B$15)</f>
        <v>15000</v>
      </c>
      <c r="R35" s="2">
        <f>SUM(各種シミュレーション!$B$13:$B$15)</f>
        <v>15000</v>
      </c>
      <c r="S35" s="2">
        <f>SUM(各種シミュレーション!$B$13:$B$15)</f>
        <v>15000</v>
      </c>
      <c r="T35" s="2">
        <f>SUM(各種シミュレーション!$B$13:$B$15)</f>
        <v>15000</v>
      </c>
      <c r="U35" s="2">
        <f>SUM(各種シミュレーション!$B$13:$B$15)</f>
        <v>15000</v>
      </c>
      <c r="V35" s="2">
        <f>SUM(各種シミュレーション!$B$13:$B$15)</f>
        <v>15000</v>
      </c>
      <c r="W35" s="2">
        <f>SUM(各種シミュレーション!$B$13:$B$15)</f>
        <v>15000</v>
      </c>
      <c r="X35" s="2">
        <f>SUM(各種シミュレーション!$B$13:$B$15)</f>
        <v>15000</v>
      </c>
      <c r="Y35" s="2">
        <f>SUM(各種シミュレーション!$B$13:$B$15)</f>
        <v>15000</v>
      </c>
      <c r="Z35" s="2">
        <f>SUM(各種シミュレーション!$B$13:$B$15)</f>
        <v>15000</v>
      </c>
      <c r="AA35" s="3">
        <f>SUM(各種シミュレーション!$B$13:$B$15)</f>
        <v>15000</v>
      </c>
      <c r="AB35" s="5">
        <f t="shared" si="221"/>
        <v>180000</v>
      </c>
      <c r="AC35" s="4">
        <f>SUM(各種シミュレーション!$B$13:$B$15)</f>
        <v>15000</v>
      </c>
      <c r="AD35" s="2">
        <f>SUM(各種シミュレーション!$B$13:$B$15)</f>
        <v>15000</v>
      </c>
      <c r="AE35" s="2">
        <f>SUM(各種シミュレーション!$B$13:$B$15)</f>
        <v>15000</v>
      </c>
      <c r="AF35" s="2">
        <f>SUM(各種シミュレーション!$B$13:$B$15)</f>
        <v>15000</v>
      </c>
      <c r="AG35" s="2">
        <f>SUM(各種シミュレーション!$B$13:$B$15)</f>
        <v>15000</v>
      </c>
      <c r="AH35" s="2">
        <f>SUM(各種シミュレーション!$B$13:$B$15)</f>
        <v>15000</v>
      </c>
      <c r="AI35" s="2">
        <f>SUM(各種シミュレーション!$B$13:$B$15)</f>
        <v>15000</v>
      </c>
      <c r="AJ35" s="2">
        <f>SUM(各種シミュレーション!$B$13:$B$15)</f>
        <v>15000</v>
      </c>
      <c r="AK35" s="2">
        <f>SUM(各種シミュレーション!$B$13:$B$15)</f>
        <v>15000</v>
      </c>
      <c r="AL35" s="2">
        <f>SUM(各種シミュレーション!$B$13:$B$15)</f>
        <v>15000</v>
      </c>
      <c r="AM35" s="2">
        <f>SUM(各種シミュレーション!$B$13:$B$15)</f>
        <v>15000</v>
      </c>
      <c r="AN35" s="3">
        <f>SUM(各種シミュレーション!$B$13:$B$15)</f>
        <v>15000</v>
      </c>
      <c r="AO35" s="5">
        <f t="shared" si="454"/>
        <v>180000</v>
      </c>
      <c r="AP35" s="4">
        <f>SUM(各種シミュレーション!$B$13:$B$15)</f>
        <v>15000</v>
      </c>
      <c r="AQ35" s="2">
        <f>SUM(各種シミュレーション!$B$13:$B$15)</f>
        <v>15000</v>
      </c>
      <c r="AR35" s="2">
        <f>SUM(各種シミュレーション!$B$13:$B$15)</f>
        <v>15000</v>
      </c>
      <c r="AS35" s="2">
        <f>SUM(各種シミュレーション!$B$13:$B$15)</f>
        <v>15000</v>
      </c>
      <c r="AT35" s="2">
        <f>SUM(各種シミュレーション!$B$13:$B$15)</f>
        <v>15000</v>
      </c>
      <c r="AU35" s="2">
        <f>SUM(各種シミュレーション!$B$13:$B$15)</f>
        <v>15000</v>
      </c>
      <c r="AV35" s="2">
        <f>SUM(各種シミュレーション!$B$13:$B$15)</f>
        <v>15000</v>
      </c>
      <c r="AW35" s="2">
        <f>SUM(各種シミュレーション!$B$13:$B$15)</f>
        <v>15000</v>
      </c>
      <c r="AX35" s="2">
        <f>SUM(各種シミュレーション!$B$13:$B$15)</f>
        <v>15000</v>
      </c>
      <c r="AY35" s="2">
        <f>SUM(各種シミュレーション!$B$13:$B$15)</f>
        <v>15000</v>
      </c>
      <c r="AZ35" s="2">
        <f>SUM(各種シミュレーション!$B$13:$B$15)</f>
        <v>15000</v>
      </c>
      <c r="BA35" s="3">
        <f>SUM(各種シミュレーション!$B$13:$B$15)</f>
        <v>15000</v>
      </c>
      <c r="BB35" s="5">
        <f t="shared" si="455"/>
        <v>180000</v>
      </c>
      <c r="BC35" s="4">
        <f>SUM(各種シミュレーション!$B$13:$B$15)</f>
        <v>15000</v>
      </c>
      <c r="BD35" s="2">
        <f>SUM(各種シミュレーション!$B$13:$B$15)</f>
        <v>15000</v>
      </c>
      <c r="BE35" s="2">
        <f>SUM(各種シミュレーション!$B$13:$B$15)</f>
        <v>15000</v>
      </c>
      <c r="BF35" s="2">
        <f>SUM(各種シミュレーション!$B$13:$B$15)</f>
        <v>15000</v>
      </c>
      <c r="BG35" s="2">
        <f>SUM(各種シミュレーション!$B$13:$B$15)</f>
        <v>15000</v>
      </c>
      <c r="BH35" s="2">
        <f>SUM(各種シミュレーション!$B$13:$B$15)</f>
        <v>15000</v>
      </c>
      <c r="BI35" s="2">
        <f>SUM(各種シミュレーション!$B$13:$B$15)</f>
        <v>15000</v>
      </c>
      <c r="BJ35" s="2">
        <f>SUM(各種シミュレーション!$B$13:$B$15)</f>
        <v>15000</v>
      </c>
      <c r="BK35" s="2">
        <f>SUM(各種シミュレーション!$B$13:$B$15)</f>
        <v>15000</v>
      </c>
      <c r="BL35" s="2">
        <f>SUM(各種シミュレーション!$B$13:$B$15)</f>
        <v>15000</v>
      </c>
      <c r="BM35" s="2">
        <f>SUM(各種シミュレーション!$B$13:$B$15)</f>
        <v>15000</v>
      </c>
      <c r="BN35" s="3">
        <f>SUM(各種シミュレーション!$B$13:$B$15)</f>
        <v>15000</v>
      </c>
      <c r="BO35" s="5">
        <f t="shared" si="456"/>
        <v>180000</v>
      </c>
      <c r="BP35" s="4">
        <f>SUM(各種シミュレーション!$B$13:$B$15)</f>
        <v>15000</v>
      </c>
      <c r="BQ35" s="2">
        <f>SUM(各種シミュレーション!$B$13:$B$15)</f>
        <v>15000</v>
      </c>
      <c r="BR35" s="2">
        <f>SUM(各種シミュレーション!$B$13:$B$15)</f>
        <v>15000</v>
      </c>
      <c r="BS35" s="2">
        <f>SUM(各種シミュレーション!$B$13:$B$15)</f>
        <v>15000</v>
      </c>
      <c r="BT35" s="2">
        <f>SUM(各種シミュレーション!$B$13:$B$15)</f>
        <v>15000</v>
      </c>
      <c r="BU35" s="2">
        <f>SUM(各種シミュレーション!$B$13:$B$15)</f>
        <v>15000</v>
      </c>
      <c r="BV35" s="2">
        <f>SUM(各種シミュレーション!$B$13:$B$15)</f>
        <v>15000</v>
      </c>
      <c r="BW35" s="2">
        <f>SUM(各種シミュレーション!$B$13:$B$15)</f>
        <v>15000</v>
      </c>
      <c r="BX35" s="2">
        <f>SUM(各種シミュレーション!$B$13:$B$15)</f>
        <v>15000</v>
      </c>
      <c r="BY35" s="2">
        <f>SUM(各種シミュレーション!$B$13:$B$15)</f>
        <v>15000</v>
      </c>
      <c r="BZ35" s="2">
        <f>SUM(各種シミュレーション!$B$13:$B$15)</f>
        <v>15000</v>
      </c>
      <c r="CA35" s="3">
        <f>SUM(各種シミュレーション!$B$13:$B$15)</f>
        <v>15000</v>
      </c>
      <c r="CB35" s="5">
        <f t="shared" si="457"/>
        <v>180000</v>
      </c>
      <c r="CC35" s="4">
        <f>SUM(各種シミュレーション!$B$13:$B$15)</f>
        <v>15000</v>
      </c>
      <c r="CD35" s="2">
        <f>SUM(各種シミュレーション!$B$13:$B$15)</f>
        <v>15000</v>
      </c>
      <c r="CE35" s="2">
        <f>SUM(各種シミュレーション!$B$13:$B$15)</f>
        <v>15000</v>
      </c>
      <c r="CF35" s="2">
        <f>SUM(各種シミュレーション!$B$13:$B$15)</f>
        <v>15000</v>
      </c>
      <c r="CG35" s="2">
        <f>SUM(各種シミュレーション!$B$13:$B$15)</f>
        <v>15000</v>
      </c>
      <c r="CH35" s="2">
        <f>SUM(各種シミュレーション!$B$13:$B$15)</f>
        <v>15000</v>
      </c>
      <c r="CI35" s="2">
        <f>SUM(各種シミュレーション!$B$13:$B$15)</f>
        <v>15000</v>
      </c>
      <c r="CJ35" s="2">
        <f>SUM(各種シミュレーション!$B$13:$B$15)</f>
        <v>15000</v>
      </c>
      <c r="CK35" s="2">
        <f>SUM(各種シミュレーション!$B$13:$B$15)</f>
        <v>15000</v>
      </c>
      <c r="CL35" s="2">
        <f>SUM(各種シミュレーション!$B$13:$B$15)</f>
        <v>15000</v>
      </c>
      <c r="CM35" s="2">
        <f>SUM(各種シミュレーション!$B$13:$B$15)</f>
        <v>15000</v>
      </c>
      <c r="CN35" s="3">
        <f>SUM(各種シミュレーション!$B$13:$B$15)</f>
        <v>15000</v>
      </c>
      <c r="CO35" s="5">
        <f t="shared" si="458"/>
        <v>180000</v>
      </c>
      <c r="CP35" s="4">
        <f>SUM(各種シミュレーション!$B$13:$B$15)</f>
        <v>15000</v>
      </c>
      <c r="CQ35" s="2">
        <f>SUM(各種シミュレーション!$B$13:$B$15)</f>
        <v>15000</v>
      </c>
      <c r="CR35" s="2">
        <f>SUM(各種シミュレーション!$B$13:$B$15)</f>
        <v>15000</v>
      </c>
      <c r="CS35" s="2">
        <f>SUM(各種シミュレーション!$B$13:$B$15)</f>
        <v>15000</v>
      </c>
      <c r="CT35" s="2">
        <f>SUM(各種シミュレーション!$B$13:$B$15)</f>
        <v>15000</v>
      </c>
      <c r="CU35" s="2">
        <f>SUM(各種シミュレーション!$B$13:$B$15)</f>
        <v>15000</v>
      </c>
      <c r="CV35" s="2">
        <f>SUM(各種シミュレーション!$B$13:$B$15)</f>
        <v>15000</v>
      </c>
      <c r="CW35" s="2">
        <f>SUM(各種シミュレーション!$B$13:$B$15)</f>
        <v>15000</v>
      </c>
      <c r="CX35" s="2">
        <f>SUM(各種シミュレーション!$B$13:$B$15)</f>
        <v>15000</v>
      </c>
      <c r="CY35" s="2">
        <f>SUM(各種シミュレーション!$B$13:$B$15)</f>
        <v>15000</v>
      </c>
      <c r="CZ35" s="2">
        <f>SUM(各種シミュレーション!$B$13:$B$15)</f>
        <v>15000</v>
      </c>
      <c r="DA35" s="3">
        <f>SUM(各種シミュレーション!$B$13:$B$15)</f>
        <v>15000</v>
      </c>
      <c r="DB35" s="5">
        <f t="shared" si="459"/>
        <v>180000</v>
      </c>
      <c r="DC35" s="4">
        <f>SUM(各種シミュレーション!$B$13:$B$15)</f>
        <v>15000</v>
      </c>
      <c r="DD35" s="2">
        <f>SUM(各種シミュレーション!$B$13:$B$15)</f>
        <v>15000</v>
      </c>
      <c r="DE35" s="2">
        <f>SUM(各種シミュレーション!$B$13:$B$15)</f>
        <v>15000</v>
      </c>
      <c r="DF35" s="2">
        <f>SUM(各種シミュレーション!$B$13:$B$15)</f>
        <v>15000</v>
      </c>
      <c r="DG35" s="2">
        <f>SUM(各種シミュレーション!$B$13:$B$15)</f>
        <v>15000</v>
      </c>
      <c r="DH35" s="2">
        <f>SUM(各種シミュレーション!$B$13:$B$15)</f>
        <v>15000</v>
      </c>
      <c r="DI35" s="2">
        <f>SUM(各種シミュレーション!$B$13:$B$15)</f>
        <v>15000</v>
      </c>
      <c r="DJ35" s="2">
        <f>SUM(各種シミュレーション!$B$13:$B$15)</f>
        <v>15000</v>
      </c>
      <c r="DK35" s="2">
        <f>SUM(各種シミュレーション!$B$13:$B$15)</f>
        <v>15000</v>
      </c>
      <c r="DL35" s="2">
        <f>SUM(各種シミュレーション!$B$13:$B$15)</f>
        <v>15000</v>
      </c>
      <c r="DM35" s="2">
        <f>SUM(各種シミュレーション!$B$13:$B$15)</f>
        <v>15000</v>
      </c>
      <c r="DN35" s="3">
        <f>SUM(各種シミュレーション!$B$13:$B$15)</f>
        <v>15000</v>
      </c>
      <c r="DO35" s="5">
        <f t="shared" si="460"/>
        <v>180000</v>
      </c>
      <c r="DP35" s="4">
        <f>SUM(各種シミュレーション!$B$13:$B$15)</f>
        <v>15000</v>
      </c>
      <c r="DQ35" s="2">
        <f>SUM(各種シミュレーション!$B$13:$B$15)</f>
        <v>15000</v>
      </c>
      <c r="DR35" s="2">
        <f>SUM(各種シミュレーション!$B$13:$B$15)</f>
        <v>15000</v>
      </c>
      <c r="DS35" s="2">
        <f>SUM(各種シミュレーション!$B$13:$B$15)</f>
        <v>15000</v>
      </c>
      <c r="DT35" s="2">
        <f>SUM(各種シミュレーション!$B$13:$B$15)</f>
        <v>15000</v>
      </c>
      <c r="DU35" s="2">
        <f>SUM(各種シミュレーション!$B$13:$B$15)</f>
        <v>15000</v>
      </c>
      <c r="DV35" s="2">
        <f>SUM(各種シミュレーション!$B$13:$B$15)</f>
        <v>15000</v>
      </c>
      <c r="DW35" s="2">
        <f>SUM(各種シミュレーション!$B$13:$B$15)</f>
        <v>15000</v>
      </c>
      <c r="DX35" s="2">
        <f>SUM(各種シミュレーション!$B$13:$B$15)</f>
        <v>15000</v>
      </c>
      <c r="DY35" s="2">
        <f>SUM(各種シミュレーション!$B$13:$B$15)</f>
        <v>15000</v>
      </c>
      <c r="DZ35" s="2">
        <f>SUM(各種シミュレーション!$B$13:$B$15)</f>
        <v>15000</v>
      </c>
      <c r="EA35" s="3">
        <f>SUM(各種シミュレーション!$B$13:$B$15)</f>
        <v>15000</v>
      </c>
      <c r="EB35" s="6">
        <f t="shared" si="461"/>
        <v>180000</v>
      </c>
    </row>
    <row r="36" spans="1:132" s="7" customFormat="1" ht="24" customHeight="1">
      <c r="A36" s="185"/>
      <c r="B36" s="198" t="s">
        <v>42</v>
      </c>
      <c r="C36" s="187"/>
      <c r="D36" s="187"/>
      <c r="E36" s="187">
        <f t="shared" ref="E36:F36" si="462">SUM(E37:E39)</f>
        <v>800000</v>
      </c>
      <c r="F36" s="187">
        <f t="shared" si="462"/>
        <v>800000</v>
      </c>
      <c r="G36" s="187">
        <f t="shared" ref="G36" si="463">SUM(G37:G39)</f>
        <v>800000</v>
      </c>
      <c r="H36" s="187">
        <f t="shared" ref="H36" si="464">SUM(H37:H39)</f>
        <v>800000</v>
      </c>
      <c r="I36" s="187">
        <f t="shared" ref="I36" si="465">SUM(I37:I39)</f>
        <v>800000</v>
      </c>
      <c r="J36" s="187">
        <f t="shared" ref="J36" si="466">SUM(J37:J39)</f>
        <v>800000</v>
      </c>
      <c r="K36" s="187">
        <f t="shared" ref="K36" si="467">SUM(K37:K39)</f>
        <v>800000</v>
      </c>
      <c r="L36" s="187">
        <f t="shared" ref="L36" si="468">SUM(L37:L39)</f>
        <v>800000</v>
      </c>
      <c r="M36" s="187">
        <f t="shared" ref="M36" si="469">SUM(M37:M39)</f>
        <v>800000</v>
      </c>
      <c r="N36" s="188">
        <f t="shared" ref="N36" si="470">SUM(N37:N39)</f>
        <v>800000</v>
      </c>
      <c r="O36" s="189">
        <f>SUM(O37:O39)</f>
        <v>7200000</v>
      </c>
      <c r="P36" s="190">
        <f>SUM(P37:P39)</f>
        <v>600000</v>
      </c>
      <c r="Q36" s="187">
        <f t="shared" ref="Q36:AA36" si="471">SUM(Q37:Q39)</f>
        <v>300000</v>
      </c>
      <c r="R36" s="187">
        <f t="shared" si="471"/>
        <v>300000</v>
      </c>
      <c r="S36" s="187">
        <f t="shared" si="471"/>
        <v>600000</v>
      </c>
      <c r="T36" s="187">
        <f t="shared" si="471"/>
        <v>300000</v>
      </c>
      <c r="U36" s="187">
        <f t="shared" si="471"/>
        <v>300000</v>
      </c>
      <c r="V36" s="187">
        <f t="shared" si="471"/>
        <v>300000</v>
      </c>
      <c r="W36" s="187">
        <f t="shared" si="471"/>
        <v>300000</v>
      </c>
      <c r="X36" s="187">
        <f t="shared" si="471"/>
        <v>300000</v>
      </c>
      <c r="Y36" s="187">
        <f t="shared" si="471"/>
        <v>300000</v>
      </c>
      <c r="Z36" s="187">
        <f t="shared" si="471"/>
        <v>300000</v>
      </c>
      <c r="AA36" s="188">
        <f t="shared" si="471"/>
        <v>100000</v>
      </c>
      <c r="AB36" s="189">
        <f>SUM(AB37:AB39)</f>
        <v>4000000</v>
      </c>
      <c r="AC36" s="190">
        <f>SUM(AC37:AC39)</f>
        <v>600000</v>
      </c>
      <c r="AD36" s="187">
        <f>SUM(AD37:AD39)</f>
        <v>100000</v>
      </c>
      <c r="AE36" s="187">
        <f t="shared" ref="AE36:AM36" si="472">SUM(AE37:AE39)</f>
        <v>100000</v>
      </c>
      <c r="AF36" s="187">
        <f t="shared" si="472"/>
        <v>100000</v>
      </c>
      <c r="AG36" s="187">
        <f t="shared" si="472"/>
        <v>100000</v>
      </c>
      <c r="AH36" s="187">
        <f t="shared" si="472"/>
        <v>100000</v>
      </c>
      <c r="AI36" s="187">
        <f t="shared" si="472"/>
        <v>100000</v>
      </c>
      <c r="AJ36" s="187">
        <f t="shared" si="472"/>
        <v>100000</v>
      </c>
      <c r="AK36" s="187">
        <f t="shared" si="472"/>
        <v>100000</v>
      </c>
      <c r="AL36" s="187">
        <f t="shared" si="472"/>
        <v>100000</v>
      </c>
      <c r="AM36" s="187">
        <f t="shared" si="472"/>
        <v>100000</v>
      </c>
      <c r="AN36" s="188">
        <f>SUM(AN37:AN39)</f>
        <v>0</v>
      </c>
      <c r="AO36" s="189">
        <f>SUM(AO37:AO39)</f>
        <v>1600000</v>
      </c>
      <c r="AP36" s="190">
        <f>SUM(AP37:AP39)</f>
        <v>100000</v>
      </c>
      <c r="AQ36" s="187">
        <f t="shared" ref="AQ36:BA36" si="473">SUM(AQ37:AQ39)</f>
        <v>100000</v>
      </c>
      <c r="AR36" s="187">
        <f t="shared" si="473"/>
        <v>100000</v>
      </c>
      <c r="AS36" s="187">
        <f t="shared" si="473"/>
        <v>100000</v>
      </c>
      <c r="AT36" s="187">
        <f t="shared" si="473"/>
        <v>100000</v>
      </c>
      <c r="AU36" s="187">
        <f t="shared" si="473"/>
        <v>100000</v>
      </c>
      <c r="AV36" s="187">
        <f t="shared" si="473"/>
        <v>100000</v>
      </c>
      <c r="AW36" s="187">
        <f t="shared" si="473"/>
        <v>100000</v>
      </c>
      <c r="AX36" s="187">
        <f t="shared" si="473"/>
        <v>100000</v>
      </c>
      <c r="AY36" s="187">
        <f t="shared" si="473"/>
        <v>100000</v>
      </c>
      <c r="AZ36" s="187">
        <f t="shared" si="473"/>
        <v>100000</v>
      </c>
      <c r="BA36" s="188">
        <f t="shared" si="473"/>
        <v>0</v>
      </c>
      <c r="BB36" s="189">
        <f>SUM(BB37:BB39)</f>
        <v>1100000</v>
      </c>
      <c r="BC36" s="190">
        <f>SUM(BC37:BC39)</f>
        <v>100000</v>
      </c>
      <c r="BD36" s="187">
        <f t="shared" ref="BD36" si="474">SUM(BD37:BD39)</f>
        <v>100000</v>
      </c>
      <c r="BE36" s="187">
        <f t="shared" ref="BE36" si="475">SUM(BE37:BE39)</f>
        <v>100000</v>
      </c>
      <c r="BF36" s="187">
        <f t="shared" ref="BF36" si="476">SUM(BF37:BF39)</f>
        <v>100000</v>
      </c>
      <c r="BG36" s="187">
        <f t="shared" ref="BG36" si="477">SUM(BG37:BG39)</f>
        <v>100000</v>
      </c>
      <c r="BH36" s="187">
        <f t="shared" ref="BH36" si="478">SUM(BH37:BH39)</f>
        <v>100000</v>
      </c>
      <c r="BI36" s="187">
        <f t="shared" ref="BI36" si="479">SUM(BI37:BI39)</f>
        <v>100000</v>
      </c>
      <c r="BJ36" s="187">
        <f t="shared" ref="BJ36" si="480">SUM(BJ37:BJ39)</f>
        <v>100000</v>
      </c>
      <c r="BK36" s="187">
        <f t="shared" ref="BK36" si="481">SUM(BK37:BK39)</f>
        <v>100000</v>
      </c>
      <c r="BL36" s="187">
        <f t="shared" ref="BL36" si="482">SUM(BL37:BL39)</f>
        <v>100000</v>
      </c>
      <c r="BM36" s="187">
        <f t="shared" ref="BM36" si="483">SUM(BM37:BM39)</f>
        <v>100000</v>
      </c>
      <c r="BN36" s="188">
        <f t="shared" ref="BN36" si="484">SUM(BN37:BN39)</f>
        <v>0</v>
      </c>
      <c r="BO36" s="189">
        <f>SUM(BO37:BO39)</f>
        <v>1100000</v>
      </c>
      <c r="BP36" s="190">
        <f>SUM(BP37:BP39)</f>
        <v>100000</v>
      </c>
      <c r="BQ36" s="187">
        <f t="shared" ref="BQ36" si="485">SUM(BQ37:BQ39)</f>
        <v>100000</v>
      </c>
      <c r="BR36" s="187">
        <f t="shared" ref="BR36" si="486">SUM(BR37:BR39)</f>
        <v>100000</v>
      </c>
      <c r="BS36" s="187">
        <f t="shared" ref="BS36" si="487">SUM(BS37:BS39)</f>
        <v>100000</v>
      </c>
      <c r="BT36" s="187">
        <f t="shared" ref="BT36" si="488">SUM(BT37:BT39)</f>
        <v>100000</v>
      </c>
      <c r="BU36" s="187">
        <f t="shared" ref="BU36" si="489">SUM(BU37:BU39)</f>
        <v>100000</v>
      </c>
      <c r="BV36" s="187">
        <f t="shared" ref="BV36" si="490">SUM(BV37:BV39)</f>
        <v>100000</v>
      </c>
      <c r="BW36" s="187">
        <f t="shared" ref="BW36" si="491">SUM(BW37:BW39)</f>
        <v>100000</v>
      </c>
      <c r="BX36" s="187">
        <f t="shared" ref="BX36" si="492">SUM(BX37:BX39)</f>
        <v>100000</v>
      </c>
      <c r="BY36" s="187">
        <f t="shared" ref="BY36" si="493">SUM(BY37:BY39)</f>
        <v>100000</v>
      </c>
      <c r="BZ36" s="187">
        <f t="shared" ref="BZ36" si="494">SUM(BZ37:BZ39)</f>
        <v>100000</v>
      </c>
      <c r="CA36" s="188">
        <f t="shared" ref="CA36" si="495">SUM(CA37:CA39)</f>
        <v>0</v>
      </c>
      <c r="CB36" s="189">
        <f>SUM(CB37:CB39)</f>
        <v>1100000</v>
      </c>
      <c r="CC36" s="190">
        <f>SUM(CC37:CC39)</f>
        <v>100000</v>
      </c>
      <c r="CD36" s="187">
        <f t="shared" ref="CD36" si="496">SUM(CD37:CD39)</f>
        <v>100000</v>
      </c>
      <c r="CE36" s="187">
        <f t="shared" ref="CE36" si="497">SUM(CE37:CE39)</f>
        <v>100000</v>
      </c>
      <c r="CF36" s="187">
        <f t="shared" ref="CF36" si="498">SUM(CF37:CF39)</f>
        <v>100000</v>
      </c>
      <c r="CG36" s="187">
        <f t="shared" ref="CG36" si="499">SUM(CG37:CG39)</f>
        <v>100000</v>
      </c>
      <c r="CH36" s="187">
        <f t="shared" ref="CH36" si="500">SUM(CH37:CH39)</f>
        <v>100000</v>
      </c>
      <c r="CI36" s="187">
        <f t="shared" ref="CI36" si="501">SUM(CI37:CI39)</f>
        <v>100000</v>
      </c>
      <c r="CJ36" s="187">
        <f t="shared" ref="CJ36" si="502">SUM(CJ37:CJ39)</f>
        <v>100000</v>
      </c>
      <c r="CK36" s="187">
        <f t="shared" ref="CK36" si="503">SUM(CK37:CK39)</f>
        <v>100000</v>
      </c>
      <c r="CL36" s="187">
        <f t="shared" ref="CL36" si="504">SUM(CL37:CL39)</f>
        <v>100000</v>
      </c>
      <c r="CM36" s="187">
        <f t="shared" ref="CM36" si="505">SUM(CM37:CM39)</f>
        <v>100000</v>
      </c>
      <c r="CN36" s="188">
        <f t="shared" ref="CN36" si="506">SUM(CN37:CN39)</f>
        <v>0</v>
      </c>
      <c r="CO36" s="189">
        <f>SUM(CO37:CO39)</f>
        <v>1100000</v>
      </c>
      <c r="CP36" s="190">
        <f>SUM(CP37:CP39)</f>
        <v>100000</v>
      </c>
      <c r="CQ36" s="187">
        <f t="shared" ref="CQ36" si="507">SUM(CQ37:CQ39)</f>
        <v>100000</v>
      </c>
      <c r="CR36" s="187">
        <f t="shared" ref="CR36" si="508">SUM(CR37:CR39)</f>
        <v>100000</v>
      </c>
      <c r="CS36" s="187">
        <f t="shared" ref="CS36" si="509">SUM(CS37:CS39)</f>
        <v>100000</v>
      </c>
      <c r="CT36" s="187">
        <f t="shared" ref="CT36" si="510">SUM(CT37:CT39)</f>
        <v>100000</v>
      </c>
      <c r="CU36" s="187">
        <f t="shared" ref="CU36" si="511">SUM(CU37:CU39)</f>
        <v>100000</v>
      </c>
      <c r="CV36" s="187">
        <f t="shared" ref="CV36" si="512">SUM(CV37:CV39)</f>
        <v>100000</v>
      </c>
      <c r="CW36" s="187">
        <f t="shared" ref="CW36" si="513">SUM(CW37:CW39)</f>
        <v>100000</v>
      </c>
      <c r="CX36" s="187">
        <f t="shared" ref="CX36" si="514">SUM(CX37:CX39)</f>
        <v>100000</v>
      </c>
      <c r="CY36" s="187">
        <f t="shared" ref="CY36" si="515">SUM(CY37:CY39)</f>
        <v>100000</v>
      </c>
      <c r="CZ36" s="187">
        <f t="shared" ref="CZ36" si="516">SUM(CZ37:CZ39)</f>
        <v>100000</v>
      </c>
      <c r="DA36" s="188">
        <f t="shared" ref="DA36" si="517">SUM(DA37:DA39)</f>
        <v>0</v>
      </c>
      <c r="DB36" s="189">
        <f>SUM(DB37:DB39)</f>
        <v>1100000</v>
      </c>
      <c r="DC36" s="190">
        <f>SUM(DC37:DC39)</f>
        <v>100000</v>
      </c>
      <c r="DD36" s="187">
        <f t="shared" ref="DD36" si="518">SUM(DD37:DD39)</f>
        <v>100000</v>
      </c>
      <c r="DE36" s="187">
        <f t="shared" ref="DE36" si="519">SUM(DE37:DE39)</f>
        <v>100000</v>
      </c>
      <c r="DF36" s="187">
        <f t="shared" ref="DF36" si="520">SUM(DF37:DF39)</f>
        <v>100000</v>
      </c>
      <c r="DG36" s="187">
        <f t="shared" ref="DG36" si="521">SUM(DG37:DG39)</f>
        <v>100000</v>
      </c>
      <c r="DH36" s="187">
        <f t="shared" ref="DH36" si="522">SUM(DH37:DH39)</f>
        <v>100000</v>
      </c>
      <c r="DI36" s="187">
        <f t="shared" ref="DI36" si="523">SUM(DI37:DI39)</f>
        <v>100000</v>
      </c>
      <c r="DJ36" s="187">
        <f t="shared" ref="DJ36" si="524">SUM(DJ37:DJ39)</f>
        <v>100000</v>
      </c>
      <c r="DK36" s="187">
        <f t="shared" ref="DK36" si="525">SUM(DK37:DK39)</f>
        <v>100000</v>
      </c>
      <c r="DL36" s="187">
        <f t="shared" ref="DL36" si="526">SUM(DL37:DL39)</f>
        <v>100000</v>
      </c>
      <c r="DM36" s="187">
        <f t="shared" ref="DM36" si="527">SUM(DM37:DM39)</f>
        <v>100000</v>
      </c>
      <c r="DN36" s="188">
        <f t="shared" ref="DN36" si="528">SUM(DN37:DN39)</f>
        <v>0</v>
      </c>
      <c r="DO36" s="189">
        <f>SUM(DO37:DO39)</f>
        <v>1100000</v>
      </c>
      <c r="DP36" s="190">
        <f>SUM(DP37:DP39)</f>
        <v>100000</v>
      </c>
      <c r="DQ36" s="187">
        <f t="shared" ref="DQ36" si="529">SUM(DQ37:DQ39)</f>
        <v>100000</v>
      </c>
      <c r="DR36" s="187">
        <f t="shared" ref="DR36" si="530">SUM(DR37:DR39)</f>
        <v>100000</v>
      </c>
      <c r="DS36" s="187">
        <f t="shared" ref="DS36" si="531">SUM(DS37:DS39)</f>
        <v>100000</v>
      </c>
      <c r="DT36" s="187">
        <f t="shared" ref="DT36" si="532">SUM(DT37:DT39)</f>
        <v>100000</v>
      </c>
      <c r="DU36" s="187">
        <f t="shared" ref="DU36" si="533">SUM(DU37:DU39)</f>
        <v>100000</v>
      </c>
      <c r="DV36" s="187">
        <f t="shared" ref="DV36" si="534">SUM(DV37:DV39)</f>
        <v>100000</v>
      </c>
      <c r="DW36" s="187">
        <f t="shared" ref="DW36" si="535">SUM(DW37:DW39)</f>
        <v>100000</v>
      </c>
      <c r="DX36" s="187">
        <f t="shared" ref="DX36" si="536">SUM(DX37:DX39)</f>
        <v>100000</v>
      </c>
      <c r="DY36" s="187">
        <f t="shared" ref="DY36" si="537">SUM(DY37:DY39)</f>
        <v>100000</v>
      </c>
      <c r="DZ36" s="187">
        <f t="shared" ref="DZ36" si="538">SUM(DZ37:DZ39)</f>
        <v>100000</v>
      </c>
      <c r="EA36" s="188">
        <f t="shared" ref="EA36" si="539">SUM(EA37:EA39)</f>
        <v>0</v>
      </c>
      <c r="EB36" s="225">
        <f>SUM(EB37:EB39)</f>
        <v>1100000</v>
      </c>
    </row>
    <row r="37" spans="1:132" s="7" customFormat="1" ht="24" customHeight="1">
      <c r="A37" s="193"/>
      <c r="B37" s="197" t="s">
        <v>194</v>
      </c>
      <c r="C37" s="227"/>
      <c r="D37" s="227"/>
      <c r="E37" s="2">
        <v>50000</v>
      </c>
      <c r="F37" s="2">
        <v>50000</v>
      </c>
      <c r="G37" s="2">
        <v>50000</v>
      </c>
      <c r="H37" s="2">
        <v>50000</v>
      </c>
      <c r="I37" s="2">
        <v>50000</v>
      </c>
      <c r="J37" s="2">
        <v>50000</v>
      </c>
      <c r="K37" s="2">
        <v>50000</v>
      </c>
      <c r="L37" s="2">
        <v>50000</v>
      </c>
      <c r="M37" s="2">
        <v>50000</v>
      </c>
      <c r="N37" s="3">
        <v>50000</v>
      </c>
      <c r="O37" s="179">
        <f>SUM(F37:N37)</f>
        <v>450000</v>
      </c>
      <c r="P37" s="180">
        <v>50000</v>
      </c>
      <c r="Q37" s="177">
        <v>50000</v>
      </c>
      <c r="R37" s="177">
        <v>50000</v>
      </c>
      <c r="S37" s="180">
        <v>50000</v>
      </c>
      <c r="T37" s="177">
        <v>50000</v>
      </c>
      <c r="U37" s="177">
        <v>50000</v>
      </c>
      <c r="V37" s="177">
        <v>50000</v>
      </c>
      <c r="W37" s="177">
        <v>50000</v>
      </c>
      <c r="X37" s="177">
        <v>50000</v>
      </c>
      <c r="Y37" s="177">
        <v>50000</v>
      </c>
      <c r="Z37" s="177">
        <v>50000</v>
      </c>
      <c r="AA37" s="178"/>
      <c r="AB37" s="179">
        <f>SUM(P37:AA37)</f>
        <v>550000</v>
      </c>
      <c r="AC37" s="180">
        <v>50000</v>
      </c>
      <c r="AD37" s="177"/>
      <c r="AE37" s="177"/>
      <c r="AF37" s="177"/>
      <c r="AG37" s="177"/>
      <c r="AH37" s="177"/>
      <c r="AI37" s="177"/>
      <c r="AJ37" s="177"/>
      <c r="AK37" s="177"/>
      <c r="AL37" s="177"/>
      <c r="AM37" s="177"/>
      <c r="AN37" s="178"/>
      <c r="AO37" s="179">
        <f>SUM(AC37:AN37)</f>
        <v>50000</v>
      </c>
      <c r="AP37" s="180"/>
      <c r="AQ37" s="177"/>
      <c r="AR37" s="177"/>
      <c r="AS37" s="177"/>
      <c r="AT37" s="177"/>
      <c r="AU37" s="177"/>
      <c r="AV37" s="177"/>
      <c r="AW37" s="177"/>
      <c r="AX37" s="177"/>
      <c r="AY37" s="177"/>
      <c r="AZ37" s="177"/>
      <c r="BA37" s="178"/>
      <c r="BB37" s="179">
        <f>SUM(AP37:BA37)</f>
        <v>0</v>
      </c>
      <c r="BC37" s="180"/>
      <c r="BD37" s="177"/>
      <c r="BE37" s="177"/>
      <c r="BF37" s="177"/>
      <c r="BG37" s="177"/>
      <c r="BH37" s="177"/>
      <c r="BI37" s="177"/>
      <c r="BJ37" s="177"/>
      <c r="BK37" s="177"/>
      <c r="BL37" s="177"/>
      <c r="BM37" s="177"/>
      <c r="BN37" s="178"/>
      <c r="BO37" s="179">
        <f>SUM(BC37:BN37)</f>
        <v>0</v>
      </c>
      <c r="BP37" s="180"/>
      <c r="BQ37" s="177"/>
      <c r="BR37" s="177"/>
      <c r="BS37" s="177"/>
      <c r="BT37" s="177"/>
      <c r="BU37" s="177"/>
      <c r="BV37" s="177"/>
      <c r="BW37" s="177"/>
      <c r="BX37" s="177"/>
      <c r="BY37" s="177"/>
      <c r="BZ37" s="177"/>
      <c r="CA37" s="178"/>
      <c r="CB37" s="179">
        <f>SUM(BP37:CA37)</f>
        <v>0</v>
      </c>
      <c r="CC37" s="180"/>
      <c r="CD37" s="177"/>
      <c r="CE37" s="177"/>
      <c r="CF37" s="177"/>
      <c r="CG37" s="177"/>
      <c r="CH37" s="177"/>
      <c r="CI37" s="177"/>
      <c r="CJ37" s="177"/>
      <c r="CK37" s="177"/>
      <c r="CL37" s="177"/>
      <c r="CM37" s="177"/>
      <c r="CN37" s="178"/>
      <c r="CO37" s="179">
        <f>SUM(CC37:CN37)</f>
        <v>0</v>
      </c>
      <c r="CP37" s="180"/>
      <c r="CQ37" s="177"/>
      <c r="CR37" s="177"/>
      <c r="CS37" s="177"/>
      <c r="CT37" s="177"/>
      <c r="CU37" s="177"/>
      <c r="CV37" s="177"/>
      <c r="CW37" s="177"/>
      <c r="CX37" s="177"/>
      <c r="CY37" s="177"/>
      <c r="CZ37" s="177"/>
      <c r="DA37" s="178"/>
      <c r="DB37" s="179">
        <f>SUM(CP37:DA37)</f>
        <v>0</v>
      </c>
      <c r="DC37" s="180"/>
      <c r="DD37" s="177"/>
      <c r="DE37" s="177"/>
      <c r="DF37" s="177"/>
      <c r="DG37" s="177"/>
      <c r="DH37" s="177"/>
      <c r="DI37" s="177"/>
      <c r="DJ37" s="177"/>
      <c r="DK37" s="177"/>
      <c r="DL37" s="177"/>
      <c r="DM37" s="177"/>
      <c r="DN37" s="178"/>
      <c r="DO37" s="179">
        <f>SUM(DC37:DN37)</f>
        <v>0</v>
      </c>
      <c r="DP37" s="180"/>
      <c r="DQ37" s="177"/>
      <c r="DR37" s="177"/>
      <c r="DS37" s="177"/>
      <c r="DT37" s="177"/>
      <c r="DU37" s="177"/>
      <c r="DV37" s="177"/>
      <c r="DW37" s="177"/>
      <c r="DX37" s="177"/>
      <c r="DY37" s="177"/>
      <c r="DZ37" s="177"/>
      <c r="EA37" s="178"/>
      <c r="EB37" s="181">
        <f>SUM(DP37:EA37)</f>
        <v>0</v>
      </c>
    </row>
    <row r="38" spans="1:132" s="7" customFormat="1" ht="24" customHeight="1">
      <c r="A38" s="199"/>
      <c r="B38" s="197" t="s">
        <v>195</v>
      </c>
      <c r="C38" s="227"/>
      <c r="D38" s="227"/>
      <c r="E38" s="177">
        <v>600000</v>
      </c>
      <c r="F38" s="177">
        <v>600000</v>
      </c>
      <c r="G38" s="177">
        <v>600000</v>
      </c>
      <c r="H38" s="177">
        <v>600000</v>
      </c>
      <c r="I38" s="177">
        <v>600000</v>
      </c>
      <c r="J38" s="177">
        <v>600000</v>
      </c>
      <c r="K38" s="177">
        <v>600000</v>
      </c>
      <c r="L38" s="177">
        <v>600000</v>
      </c>
      <c r="M38" s="177">
        <v>600000</v>
      </c>
      <c r="N38" s="178">
        <v>600000</v>
      </c>
      <c r="O38" s="179">
        <f>SUM(F38:N38)</f>
        <v>5400000</v>
      </c>
      <c r="P38" s="180">
        <v>400000</v>
      </c>
      <c r="Q38" s="177">
        <v>150000</v>
      </c>
      <c r="R38" s="177">
        <v>150000</v>
      </c>
      <c r="S38" s="180">
        <v>400000</v>
      </c>
      <c r="T38" s="177">
        <v>150000</v>
      </c>
      <c r="U38" s="177">
        <v>150000</v>
      </c>
      <c r="V38" s="177">
        <v>150000</v>
      </c>
      <c r="W38" s="177">
        <v>150000</v>
      </c>
      <c r="X38" s="177">
        <v>150000</v>
      </c>
      <c r="Y38" s="177">
        <v>150000</v>
      </c>
      <c r="Z38" s="177">
        <v>150000</v>
      </c>
      <c r="AA38" s="178"/>
      <c r="AB38" s="179">
        <f>SUM(P38:AA38)</f>
        <v>2150000</v>
      </c>
      <c r="AC38" s="180">
        <v>400000</v>
      </c>
      <c r="AD38" s="177"/>
      <c r="AE38" s="177"/>
      <c r="AF38" s="177"/>
      <c r="AG38" s="177"/>
      <c r="AH38" s="177"/>
      <c r="AI38" s="177"/>
      <c r="AJ38" s="177"/>
      <c r="AK38" s="177"/>
      <c r="AL38" s="177"/>
      <c r="AM38" s="177"/>
      <c r="AN38" s="178"/>
      <c r="AO38" s="179">
        <f>SUM(AC38:AN38)</f>
        <v>400000</v>
      </c>
      <c r="AP38" s="180"/>
      <c r="AQ38" s="177"/>
      <c r="AR38" s="177"/>
      <c r="AS38" s="177"/>
      <c r="AT38" s="177"/>
      <c r="AU38" s="177"/>
      <c r="AV38" s="177"/>
      <c r="AW38" s="177"/>
      <c r="AX38" s="177"/>
      <c r="AY38" s="177"/>
      <c r="AZ38" s="177"/>
      <c r="BA38" s="178"/>
      <c r="BB38" s="179">
        <f>SUM(AP38:BA38)</f>
        <v>0</v>
      </c>
      <c r="BC38" s="180"/>
      <c r="BD38" s="177"/>
      <c r="BE38" s="177"/>
      <c r="BF38" s="177"/>
      <c r="BG38" s="177"/>
      <c r="BH38" s="177"/>
      <c r="BI38" s="177"/>
      <c r="BJ38" s="177"/>
      <c r="BK38" s="177"/>
      <c r="BL38" s="177"/>
      <c r="BM38" s="177"/>
      <c r="BN38" s="178"/>
      <c r="BO38" s="179">
        <f>SUM(BC38:BN38)</f>
        <v>0</v>
      </c>
      <c r="BP38" s="180"/>
      <c r="BQ38" s="177"/>
      <c r="BR38" s="177"/>
      <c r="BS38" s="177"/>
      <c r="BT38" s="177"/>
      <c r="BU38" s="177"/>
      <c r="BV38" s="177"/>
      <c r="BW38" s="177"/>
      <c r="BX38" s="177"/>
      <c r="BY38" s="177"/>
      <c r="BZ38" s="177"/>
      <c r="CA38" s="178"/>
      <c r="CB38" s="179">
        <f>SUM(BP38:CA38)</f>
        <v>0</v>
      </c>
      <c r="CC38" s="180"/>
      <c r="CD38" s="177"/>
      <c r="CE38" s="177"/>
      <c r="CF38" s="177"/>
      <c r="CG38" s="177"/>
      <c r="CH38" s="177"/>
      <c r="CI38" s="177"/>
      <c r="CJ38" s="177"/>
      <c r="CK38" s="177"/>
      <c r="CL38" s="177"/>
      <c r="CM38" s="177"/>
      <c r="CN38" s="178"/>
      <c r="CO38" s="179">
        <f>SUM(CC38:CN38)</f>
        <v>0</v>
      </c>
      <c r="CP38" s="180"/>
      <c r="CQ38" s="177"/>
      <c r="CR38" s="177"/>
      <c r="CS38" s="177"/>
      <c r="CT38" s="177"/>
      <c r="CU38" s="177"/>
      <c r="CV38" s="177"/>
      <c r="CW38" s="177"/>
      <c r="CX38" s="177"/>
      <c r="CY38" s="177"/>
      <c r="CZ38" s="177"/>
      <c r="DA38" s="178"/>
      <c r="DB38" s="179">
        <f>SUM(CP38:DA38)</f>
        <v>0</v>
      </c>
      <c r="DC38" s="180"/>
      <c r="DD38" s="177"/>
      <c r="DE38" s="177"/>
      <c r="DF38" s="177"/>
      <c r="DG38" s="177"/>
      <c r="DH38" s="177"/>
      <c r="DI38" s="177"/>
      <c r="DJ38" s="177"/>
      <c r="DK38" s="177"/>
      <c r="DL38" s="177"/>
      <c r="DM38" s="177"/>
      <c r="DN38" s="178"/>
      <c r="DO38" s="179">
        <f>SUM(DC38:DN38)</f>
        <v>0</v>
      </c>
      <c r="DP38" s="180"/>
      <c r="DQ38" s="177"/>
      <c r="DR38" s="177"/>
      <c r="DS38" s="177"/>
      <c r="DT38" s="177"/>
      <c r="DU38" s="177"/>
      <c r="DV38" s="177"/>
      <c r="DW38" s="177"/>
      <c r="DX38" s="177"/>
      <c r="DY38" s="177"/>
      <c r="DZ38" s="177"/>
      <c r="EA38" s="178"/>
      <c r="EB38" s="181">
        <f>SUM(DP38:EA38)</f>
        <v>0</v>
      </c>
    </row>
    <row r="39" spans="1:132" s="7" customFormat="1" ht="24" customHeight="1">
      <c r="A39" s="199"/>
      <c r="B39" s="200" t="s">
        <v>196</v>
      </c>
      <c r="C39" s="227"/>
      <c r="D39" s="227"/>
      <c r="E39" s="177">
        <v>150000</v>
      </c>
      <c r="F39" s="177">
        <v>150000</v>
      </c>
      <c r="G39" s="177">
        <v>150000</v>
      </c>
      <c r="H39" s="177">
        <v>150000</v>
      </c>
      <c r="I39" s="177">
        <v>150000</v>
      </c>
      <c r="J39" s="177">
        <v>150000</v>
      </c>
      <c r="K39" s="177">
        <v>150000</v>
      </c>
      <c r="L39" s="177">
        <v>150000</v>
      </c>
      <c r="M39" s="177">
        <v>150000</v>
      </c>
      <c r="N39" s="178">
        <v>150000</v>
      </c>
      <c r="O39" s="179">
        <f>SUM(F39:N39)</f>
        <v>1350000</v>
      </c>
      <c r="P39" s="180">
        <v>150000</v>
      </c>
      <c r="Q39" s="177">
        <v>100000</v>
      </c>
      <c r="R39" s="177">
        <v>100000</v>
      </c>
      <c r="S39" s="180">
        <v>150000</v>
      </c>
      <c r="T39" s="177">
        <v>100000</v>
      </c>
      <c r="U39" s="177">
        <v>100000</v>
      </c>
      <c r="V39" s="177">
        <v>100000</v>
      </c>
      <c r="W39" s="177">
        <v>100000</v>
      </c>
      <c r="X39" s="177">
        <v>100000</v>
      </c>
      <c r="Y39" s="177">
        <v>100000</v>
      </c>
      <c r="Z39" s="177">
        <v>100000</v>
      </c>
      <c r="AA39" s="178">
        <v>100000</v>
      </c>
      <c r="AB39" s="179">
        <f t="shared" ref="AB39" si="540">SUM(P39:AA39)</f>
        <v>1300000</v>
      </c>
      <c r="AC39" s="180">
        <v>150000</v>
      </c>
      <c r="AD39" s="177">
        <v>100000</v>
      </c>
      <c r="AE39" s="177">
        <v>100000</v>
      </c>
      <c r="AF39" s="177">
        <v>100000</v>
      </c>
      <c r="AG39" s="177">
        <v>100000</v>
      </c>
      <c r="AH39" s="177">
        <v>100000</v>
      </c>
      <c r="AI39" s="177">
        <v>100000</v>
      </c>
      <c r="AJ39" s="177">
        <v>100000</v>
      </c>
      <c r="AK39" s="177">
        <v>100000</v>
      </c>
      <c r="AL39" s="177">
        <v>100000</v>
      </c>
      <c r="AM39" s="177">
        <v>100000</v>
      </c>
      <c r="AN39" s="178">
        <v>0</v>
      </c>
      <c r="AO39" s="179">
        <f t="shared" ref="AO39" si="541">SUM(AC39:AN39)</f>
        <v>1150000</v>
      </c>
      <c r="AP39" s="180">
        <v>100000</v>
      </c>
      <c r="AQ39" s="177">
        <v>100000</v>
      </c>
      <c r="AR39" s="177">
        <v>100000</v>
      </c>
      <c r="AS39" s="177">
        <v>100000</v>
      </c>
      <c r="AT39" s="177">
        <v>100000</v>
      </c>
      <c r="AU39" s="177">
        <v>100000</v>
      </c>
      <c r="AV39" s="177">
        <v>100000</v>
      </c>
      <c r="AW39" s="177">
        <v>100000</v>
      </c>
      <c r="AX39" s="177">
        <v>100000</v>
      </c>
      <c r="AY39" s="177">
        <v>100000</v>
      </c>
      <c r="AZ39" s="177">
        <v>100000</v>
      </c>
      <c r="BA39" s="178">
        <v>0</v>
      </c>
      <c r="BB39" s="179">
        <f t="shared" ref="BB39" si="542">SUM(AP39:BA39)</f>
        <v>1100000</v>
      </c>
      <c r="BC39" s="180">
        <v>100000</v>
      </c>
      <c r="BD39" s="177">
        <v>100000</v>
      </c>
      <c r="BE39" s="177">
        <v>100000</v>
      </c>
      <c r="BF39" s="177">
        <v>100000</v>
      </c>
      <c r="BG39" s="177">
        <v>100000</v>
      </c>
      <c r="BH39" s="177">
        <v>100000</v>
      </c>
      <c r="BI39" s="177">
        <v>100000</v>
      </c>
      <c r="BJ39" s="177">
        <v>100000</v>
      </c>
      <c r="BK39" s="177">
        <v>100000</v>
      </c>
      <c r="BL39" s="177">
        <v>100000</v>
      </c>
      <c r="BM39" s="177">
        <v>100000</v>
      </c>
      <c r="BN39" s="178">
        <v>0</v>
      </c>
      <c r="BO39" s="179">
        <f t="shared" ref="BO39" si="543">SUM(BC39:BN39)</f>
        <v>1100000</v>
      </c>
      <c r="BP39" s="180">
        <v>100000</v>
      </c>
      <c r="BQ39" s="177">
        <v>100000</v>
      </c>
      <c r="BR39" s="177">
        <v>100000</v>
      </c>
      <c r="BS39" s="177">
        <v>100000</v>
      </c>
      <c r="BT39" s="177">
        <v>100000</v>
      </c>
      <c r="BU39" s="177">
        <v>100000</v>
      </c>
      <c r="BV39" s="177">
        <v>100000</v>
      </c>
      <c r="BW39" s="177">
        <v>100000</v>
      </c>
      <c r="BX39" s="177">
        <v>100000</v>
      </c>
      <c r="BY39" s="177">
        <v>100000</v>
      </c>
      <c r="BZ39" s="177">
        <v>100000</v>
      </c>
      <c r="CA39" s="178">
        <v>0</v>
      </c>
      <c r="CB39" s="179">
        <f t="shared" ref="CB39" si="544">SUM(BP39:CA39)</f>
        <v>1100000</v>
      </c>
      <c r="CC39" s="180">
        <v>100000</v>
      </c>
      <c r="CD39" s="177">
        <v>100000</v>
      </c>
      <c r="CE39" s="177">
        <v>100000</v>
      </c>
      <c r="CF39" s="177">
        <v>100000</v>
      </c>
      <c r="CG39" s="177">
        <v>100000</v>
      </c>
      <c r="CH39" s="177">
        <v>100000</v>
      </c>
      <c r="CI39" s="177">
        <v>100000</v>
      </c>
      <c r="CJ39" s="177">
        <v>100000</v>
      </c>
      <c r="CK39" s="177">
        <v>100000</v>
      </c>
      <c r="CL39" s="177">
        <v>100000</v>
      </c>
      <c r="CM39" s="177">
        <v>100000</v>
      </c>
      <c r="CN39" s="178">
        <v>0</v>
      </c>
      <c r="CO39" s="179">
        <f t="shared" ref="CO39" si="545">SUM(CC39:CN39)</f>
        <v>1100000</v>
      </c>
      <c r="CP39" s="180">
        <v>100000</v>
      </c>
      <c r="CQ39" s="177">
        <v>100000</v>
      </c>
      <c r="CR39" s="177">
        <v>100000</v>
      </c>
      <c r="CS39" s="177">
        <v>100000</v>
      </c>
      <c r="CT39" s="177">
        <v>100000</v>
      </c>
      <c r="CU39" s="177">
        <v>100000</v>
      </c>
      <c r="CV39" s="177">
        <v>100000</v>
      </c>
      <c r="CW39" s="177">
        <v>100000</v>
      </c>
      <c r="CX39" s="177">
        <v>100000</v>
      </c>
      <c r="CY39" s="177">
        <v>100000</v>
      </c>
      <c r="CZ39" s="177">
        <v>100000</v>
      </c>
      <c r="DA39" s="178">
        <v>0</v>
      </c>
      <c r="DB39" s="179">
        <f t="shared" ref="DB39" si="546">SUM(CP39:DA39)</f>
        <v>1100000</v>
      </c>
      <c r="DC39" s="180">
        <v>100000</v>
      </c>
      <c r="DD39" s="177">
        <v>100000</v>
      </c>
      <c r="DE39" s="177">
        <v>100000</v>
      </c>
      <c r="DF39" s="177">
        <v>100000</v>
      </c>
      <c r="DG39" s="177">
        <v>100000</v>
      </c>
      <c r="DH39" s="177">
        <v>100000</v>
      </c>
      <c r="DI39" s="177">
        <v>100000</v>
      </c>
      <c r="DJ39" s="177">
        <v>100000</v>
      </c>
      <c r="DK39" s="177">
        <v>100000</v>
      </c>
      <c r="DL39" s="177">
        <v>100000</v>
      </c>
      <c r="DM39" s="177">
        <v>100000</v>
      </c>
      <c r="DN39" s="178">
        <v>0</v>
      </c>
      <c r="DO39" s="179">
        <f t="shared" ref="DO39" si="547">SUM(DC39:DN39)</f>
        <v>1100000</v>
      </c>
      <c r="DP39" s="180">
        <v>100000</v>
      </c>
      <c r="DQ39" s="177">
        <v>100000</v>
      </c>
      <c r="DR39" s="177">
        <v>100000</v>
      </c>
      <c r="DS39" s="177">
        <v>100000</v>
      </c>
      <c r="DT39" s="177">
        <v>100000</v>
      </c>
      <c r="DU39" s="177">
        <v>100000</v>
      </c>
      <c r="DV39" s="177">
        <v>100000</v>
      </c>
      <c r="DW39" s="177">
        <v>100000</v>
      </c>
      <c r="DX39" s="177">
        <v>100000</v>
      </c>
      <c r="DY39" s="177">
        <v>100000</v>
      </c>
      <c r="DZ39" s="177">
        <v>100000</v>
      </c>
      <c r="EA39" s="178">
        <v>0</v>
      </c>
      <c r="EB39" s="181">
        <f t="shared" ref="EB39" si="548">SUM(DP39:EA39)</f>
        <v>1100000</v>
      </c>
    </row>
    <row r="40" spans="1:132" s="7" customFormat="1" ht="24" customHeight="1">
      <c r="A40" s="185"/>
      <c r="B40" s="198" t="s">
        <v>10</v>
      </c>
      <c r="C40" s="187">
        <f>SUM(C41:C52)</f>
        <v>240000</v>
      </c>
      <c r="D40" s="187">
        <f>SUM(D41:D52)</f>
        <v>285000</v>
      </c>
      <c r="E40" s="187">
        <f>SUM(E41:E52)</f>
        <v>1470280</v>
      </c>
      <c r="F40" s="187">
        <f>SUM(F41:F52)</f>
        <v>1470280</v>
      </c>
      <c r="G40" s="187">
        <f>SUM(G41:G52)</f>
        <v>1855422.4000000001</v>
      </c>
      <c r="H40" s="187">
        <f t="shared" ref="H40:N40" si="549">SUM(H41:H52)</f>
        <v>1876024</v>
      </c>
      <c r="I40" s="187">
        <f t="shared" si="549"/>
        <v>1915447.2319999998</v>
      </c>
      <c r="J40" s="187">
        <f t="shared" si="549"/>
        <v>1947312.4244479998</v>
      </c>
      <c r="K40" s="187">
        <f t="shared" si="549"/>
        <v>1984222.870019072</v>
      </c>
      <c r="L40" s="187">
        <f t="shared" si="549"/>
        <v>2006975.1585439998</v>
      </c>
      <c r="M40" s="187">
        <f t="shared" si="549"/>
        <v>2009448.832760016</v>
      </c>
      <c r="N40" s="188">
        <f t="shared" si="549"/>
        <v>2020090.7065802952</v>
      </c>
      <c r="O40" s="189">
        <f>SUM(O41:O52)</f>
        <v>19080503.624351382</v>
      </c>
      <c r="P40" s="190">
        <f>SUM(P41:P52)</f>
        <v>2039698.8187310214</v>
      </c>
      <c r="Q40" s="190">
        <f t="shared" ref="Q40:AA40" si="550">SUM(Q41:Q52)</f>
        <v>2048309.5793706633</v>
      </c>
      <c r="R40" s="190">
        <f t="shared" si="550"/>
        <v>2001449.619540242</v>
      </c>
      <c r="S40" s="190">
        <f t="shared" si="550"/>
        <v>2062329.0135018509</v>
      </c>
      <c r="T40" s="190">
        <f t="shared" si="550"/>
        <v>2039191.9591472638</v>
      </c>
      <c r="U40" s="190">
        <f t="shared" si="550"/>
        <v>2044382.7196988154</v>
      </c>
      <c r="V40" s="190">
        <f t="shared" si="550"/>
        <v>2085797.1942699591</v>
      </c>
      <c r="W40" s="190">
        <f t="shared" si="550"/>
        <v>2088970.7649619705</v>
      </c>
      <c r="X40" s="190">
        <f t="shared" si="550"/>
        <v>2105296.7400983777</v>
      </c>
      <c r="Y40" s="190">
        <f t="shared" si="550"/>
        <v>2115998.9139947374</v>
      </c>
      <c r="Z40" s="190">
        <f t="shared" si="550"/>
        <v>2104537.6680969321</v>
      </c>
      <c r="AA40" s="201">
        <f t="shared" si="550"/>
        <v>2114470.5535773458</v>
      </c>
      <c r="AB40" s="189">
        <f>SUM(AB41:AB52)</f>
        <v>24850433.54498918</v>
      </c>
      <c r="AC40" s="190">
        <f>SUM(AC41:AC52)</f>
        <v>2132926.223094984</v>
      </c>
      <c r="AD40" s="190">
        <f t="shared" ref="AD40" si="551">SUM(AD41:AD52)</f>
        <v>2138127.9979604697</v>
      </c>
      <c r="AE40" s="190">
        <f t="shared" ref="AE40" si="552">SUM(AE41:AE52)</f>
        <v>2134938.0700359326</v>
      </c>
      <c r="AF40" s="190">
        <f t="shared" ref="AF40" si="553">SUM(AF41:AF52)</f>
        <v>2172562.8427246027</v>
      </c>
      <c r="AG40" s="190">
        <f t="shared" ref="AG40" si="554">SUM(AG41:AG52)</f>
        <v>2156074.2389395107</v>
      </c>
      <c r="AH40" s="190">
        <f t="shared" ref="AH40" si="555">SUM(AH41:AH52)</f>
        <v>2172487.8711707485</v>
      </c>
      <c r="AI40" s="190">
        <f t="shared" ref="AI40" si="556">SUM(AI41:AI52)</f>
        <v>2175704.3141454309</v>
      </c>
      <c r="AJ40" s="190">
        <f t="shared" ref="AJ40" si="557">SUM(AJ41:AJ52)</f>
        <v>2177479.87826605</v>
      </c>
      <c r="AK40" s="190">
        <f t="shared" ref="AK40" si="558">SUM(AK41:AK52)</f>
        <v>2176499.1243702061</v>
      </c>
      <c r="AL40" s="190">
        <f t="shared" ref="AL40" si="559">SUM(AL41:AL52)</f>
        <v>2182016.2292485088</v>
      </c>
      <c r="AM40" s="190">
        <f t="shared" ref="AM40" si="560">SUM(AM41:AM52)</f>
        <v>2174492.5303343134</v>
      </c>
      <c r="AN40" s="201">
        <f t="shared" ref="AN40" si="561">SUM(AN41:AN52)</f>
        <v>2170677.1845999439</v>
      </c>
      <c r="AO40" s="189">
        <f>SUM(AO41:AO52)</f>
        <v>25963986.504890703</v>
      </c>
      <c r="AP40" s="190">
        <f>SUM(AP41:AP52)</f>
        <v>2161683.4898974579</v>
      </c>
      <c r="AQ40" s="190">
        <f t="shared" ref="AQ40" si="562">SUM(AQ41:AQ52)</f>
        <v>2173962.8931468977</v>
      </c>
      <c r="AR40" s="190">
        <f t="shared" ref="AR40" si="563">SUM(AR41:AR52)</f>
        <v>2159855.953716462</v>
      </c>
      <c r="AS40" s="190">
        <f t="shared" ref="AS40" si="564">SUM(AS41:AS52)</f>
        <v>2164664.818532953</v>
      </c>
      <c r="AT40" s="190">
        <f t="shared" ref="AT40" si="565">SUM(AT41:AT52)</f>
        <v>2166876.6388712339</v>
      </c>
      <c r="AU40" s="190">
        <f t="shared" ref="AU40" si="566">SUM(AU41:AU52)</f>
        <v>2168182.5807049982</v>
      </c>
      <c r="AV40" s="190">
        <f t="shared" ref="AV40" si="567">SUM(AV41:AV52)</f>
        <v>2170425.2047389136</v>
      </c>
      <c r="AW40" s="190">
        <f t="shared" ref="AW40" si="568">SUM(AW41:AW52)</f>
        <v>2177558.9181155739</v>
      </c>
      <c r="AX40" s="190">
        <f t="shared" ref="AX40" si="569">SUM(AX41:AX52)</f>
        <v>2182207.8665612973</v>
      </c>
      <c r="AY40" s="190">
        <f t="shared" ref="AY40" si="570">SUM(AY41:AY52)</f>
        <v>2180668.0115945293</v>
      </c>
      <c r="AZ40" s="190">
        <f t="shared" ref="AZ40" si="571">SUM(AZ41:AZ52)</f>
        <v>2180805.1888615321</v>
      </c>
      <c r="BA40" s="201">
        <f t="shared" ref="BA40" si="572">SUM(BA41:BA52)</f>
        <v>2174218.099081655</v>
      </c>
      <c r="BB40" s="189">
        <f>SUM(BB41:BB52)</f>
        <v>26061109.663823504</v>
      </c>
      <c r="BC40" s="190">
        <f>SUM(BC41:BC52)</f>
        <v>2191686.744164716</v>
      </c>
      <c r="BD40" s="190">
        <f t="shared" ref="BD40" si="573">SUM(BD41:BD52)</f>
        <v>2192442.7387668076</v>
      </c>
      <c r="BE40" s="190">
        <f t="shared" ref="BE40" si="574">SUM(BE41:BE52)</f>
        <v>2186218.6465204358</v>
      </c>
      <c r="BF40" s="190">
        <f t="shared" ref="BF40" si="575">SUM(BF41:BF52)</f>
        <v>2190052.0917031793</v>
      </c>
      <c r="BG40" s="190">
        <f t="shared" ref="BG40" si="576">SUM(BG41:BG52)</f>
        <v>2191324.5829341621</v>
      </c>
      <c r="BH40" s="190">
        <f t="shared" ref="BH40" si="577">SUM(BH41:BH52)</f>
        <v>2191725.9508375982</v>
      </c>
      <c r="BI40" s="190">
        <f t="shared" ref="BI40" si="578">SUM(BI41:BI52)</f>
        <v>2193097.4701766069</v>
      </c>
      <c r="BJ40" s="190">
        <f t="shared" ref="BJ40" si="579">SUM(BJ41:BJ52)</f>
        <v>2199392.3097320725</v>
      </c>
      <c r="BK40" s="190">
        <f t="shared" ref="BK40" si="580">SUM(BK41:BK52)</f>
        <v>2203233.4226879859</v>
      </c>
      <c r="BL40" s="190">
        <f t="shared" ref="BL40" si="581">SUM(BL41:BL52)</f>
        <v>2200915.6221445305</v>
      </c>
      <c r="BM40" s="190">
        <f t="shared" ref="BM40" si="582">SUM(BM41:BM52)</f>
        <v>2200303.6378211826</v>
      </c>
      <c r="BN40" s="201">
        <f t="shared" ref="BN40" si="583">SUM(BN41:BN52)</f>
        <v>2192995.1054297988</v>
      </c>
      <c r="BO40" s="189">
        <f>SUM(BO41:BO52)</f>
        <v>26333388.322919074</v>
      </c>
      <c r="BP40" s="190">
        <f>SUM(BP41:BP52)</f>
        <v>2209857.6396430992</v>
      </c>
      <c r="BQ40" s="190">
        <f t="shared" ref="BQ40" si="584">SUM(BQ41:BQ52)</f>
        <v>2209855.9523668792</v>
      </c>
      <c r="BR40" s="190">
        <f t="shared" ref="BR40" si="585">SUM(BR41:BR52)</f>
        <v>1641387.5712173048</v>
      </c>
      <c r="BS40" s="190">
        <f t="shared" ref="BS40" si="586">SUM(BS41:BS52)</f>
        <v>1644600.5661862646</v>
      </c>
      <c r="BT40" s="190">
        <f t="shared" ref="BT40" si="587">SUM(BT41:BT52)</f>
        <v>1645275.5638613726</v>
      </c>
      <c r="BU40" s="190">
        <f t="shared" ref="BU40" si="588">SUM(BU41:BU52)</f>
        <v>1645101.545470502</v>
      </c>
      <c r="BV40" s="190">
        <f t="shared" ref="BV40" si="589">SUM(BV41:BV52)</f>
        <v>1645918.9678080934</v>
      </c>
      <c r="BW40" s="190">
        <f t="shared" ref="BW40" si="590">SUM(BW41:BW52)</f>
        <v>1651680.2119511936</v>
      </c>
      <c r="BX40" s="190">
        <f t="shared" ref="BX40" si="591">SUM(BX41:BX52)</f>
        <v>1655007.4725249996</v>
      </c>
      <c r="BY40" s="190">
        <f t="shared" ref="BY40" si="592">SUM(BY41:BY52)</f>
        <v>1652194.8321375747</v>
      </c>
      <c r="BZ40" s="190">
        <f t="shared" ref="BZ40" si="593">SUM(BZ41:BZ52)</f>
        <v>1651106.3170444842</v>
      </c>
      <c r="CA40" s="201">
        <f t="shared" ref="CA40" si="594">SUM(CA41:CA52)</f>
        <v>1643338.8855218382</v>
      </c>
      <c r="CB40" s="189">
        <f>SUM(CB41:CB52)</f>
        <v>20895325.525733605</v>
      </c>
      <c r="CC40" s="190">
        <f>SUM(CC41:CC52)</f>
        <v>1659815.8814440188</v>
      </c>
      <c r="CD40" s="190">
        <f t="shared" ref="CD40" si="595">SUM(CD41:CD52)</f>
        <v>1659332.2437670538</v>
      </c>
      <c r="CE40" s="190">
        <f t="shared" ref="CE40" si="596">SUM(CE41:CE52)</f>
        <v>1652054.0398356728</v>
      </c>
      <c r="CF40" s="190">
        <f t="shared" ref="CF40" si="597">SUM(CF41:CF52)</f>
        <v>1654872.375465753</v>
      </c>
      <c r="CG40" s="190">
        <f t="shared" ref="CG40" si="598">SUM(CG41:CG52)</f>
        <v>1655167.3161975201</v>
      </c>
      <c r="CH40" s="190">
        <f t="shared" ref="CH40" si="599">SUM(CH41:CH52)</f>
        <v>1654627.302970212</v>
      </c>
      <c r="CI40" s="190">
        <f t="shared" ref="CI40" si="600">SUM(CI41:CI52)</f>
        <v>1655092.272280314</v>
      </c>
      <c r="CJ40" s="190">
        <f t="shared" ref="CJ40" si="601">SUM(CJ41:CJ52)</f>
        <v>1660514.1041579426</v>
      </c>
      <c r="CK40" s="190">
        <f t="shared" ref="CK40" si="602">SUM(CK41:CK52)</f>
        <v>1663514.5107200984</v>
      </c>
      <c r="CL40" s="190">
        <f t="shared" ref="CL40" si="603">SUM(CL41:CL52)</f>
        <v>1660387.1099194547</v>
      </c>
      <c r="CM40" s="190">
        <f t="shared" ref="CM40" si="604">SUM(CM41:CM52)</f>
        <v>1658995.4805484349</v>
      </c>
      <c r="CN40" s="201">
        <f t="shared" ref="CN40" si="605">SUM(CN41:CN52)</f>
        <v>1650936.1499761429</v>
      </c>
      <c r="CO40" s="189">
        <f>SUM(CO41:CO52)</f>
        <v>19885308.787282616</v>
      </c>
      <c r="CP40" s="190">
        <f>SUM(CP41:CP52)</f>
        <v>1667167.9106099699</v>
      </c>
      <c r="CQ40" s="190">
        <f t="shared" ref="CQ40" si="606">SUM(CQ41:CQ52)</f>
        <v>1666377.7113067778</v>
      </c>
      <c r="CR40" s="190">
        <f t="shared" ref="CR40" si="607">SUM(CR41:CR52)</f>
        <v>1658838.8250764268</v>
      </c>
      <c r="CS40" s="190">
        <f t="shared" ref="CS40" si="608">SUM(CS41:CS52)</f>
        <v>1661406.1236525993</v>
      </c>
      <c r="CT40" s="190">
        <f t="shared" ref="CT40" si="609">SUM(CT41:CT52)</f>
        <v>1661459.315701453</v>
      </c>
      <c r="CU40" s="190">
        <f t="shared" ref="CU40" si="610">SUM(CU41:CU52)</f>
        <v>1660686.4984924996</v>
      </c>
      <c r="CV40" s="190">
        <f t="shared" ref="CV40" si="611">SUM(CV41:CV52)</f>
        <v>1660927.2775682767</v>
      </c>
      <c r="CW40" s="190">
        <f t="shared" ref="CW40" si="612">SUM(CW41:CW52)</f>
        <v>1666133.2142502507</v>
      </c>
      <c r="CX40" s="190">
        <f t="shared" ref="CX40" si="613">SUM(CX41:CX52)</f>
        <v>1668925.7137389912</v>
      </c>
      <c r="CY40" s="190">
        <f t="shared" ref="CY40" si="614">SUM(CY41:CY52)</f>
        <v>1665598.0984266486</v>
      </c>
      <c r="CZ40" s="190">
        <f t="shared" ref="CZ40" si="615">SUM(CZ41:CZ52)</f>
        <v>1664013.6624808626</v>
      </c>
      <c r="DA40" s="201">
        <f t="shared" ref="DA40" si="616">SUM(DA41:DA52)</f>
        <v>1655768.6591770705</v>
      </c>
      <c r="DB40" s="189">
        <f>SUM(DB41:DB52)</f>
        <v>19957303.010481827</v>
      </c>
      <c r="DC40" s="190">
        <f>SUM(DC41:DC52)</f>
        <v>1671844.4292179036</v>
      </c>
      <c r="DD40" s="190">
        <f t="shared" ref="DD40" si="617">SUM(DD41:DD52)</f>
        <v>1670859.2305319326</v>
      </c>
      <c r="DE40" s="190">
        <f t="shared" ref="DE40" si="618">SUM(DE41:DE52)</f>
        <v>1663154.5280902516</v>
      </c>
      <c r="DF40" s="190">
        <f t="shared" ref="DF40" si="619">SUM(DF41:DF52)</f>
        <v>1665562.1456549121</v>
      </c>
      <c r="DG40" s="190">
        <f t="shared" ref="DG40" si="620">SUM(DG41:DG52)</f>
        <v>1665461.5648896804</v>
      </c>
      <c r="DH40" s="190">
        <f t="shared" ref="DH40" si="621">SUM(DH41:DH52)</f>
        <v>1664540.6644607624</v>
      </c>
      <c r="DI40" s="190">
        <f t="shared" ref="DI40" si="622">SUM(DI41:DI52)</f>
        <v>1664638.839395714</v>
      </c>
      <c r="DJ40" s="190">
        <f t="shared" ref="DJ40" si="623">SUM(DJ41:DJ52)</f>
        <v>1669707.4482900728</v>
      </c>
      <c r="DK40" s="190">
        <f t="shared" ref="DK40" si="624">SUM(DK41:DK52)</f>
        <v>1672367.70111934</v>
      </c>
      <c r="DL40" s="190">
        <f t="shared" ref="DL40" si="625">SUM(DL41:DL52)</f>
        <v>1668912.7322739244</v>
      </c>
      <c r="DM40" s="190">
        <f t="shared" ref="DM40" si="626">SUM(DM41:DM52)</f>
        <v>1667205.6548757891</v>
      </c>
      <c r="DN40" s="201">
        <f t="shared" ref="DN40" si="627">SUM(DN41:DN52)</f>
        <v>1658842.5478533849</v>
      </c>
      <c r="DO40" s="189">
        <f>SUM(DO41:DO52)</f>
        <v>20003097.486653667</v>
      </c>
      <c r="DP40" s="190">
        <f>SUM(DP41:DP52)</f>
        <v>1674819.0945513377</v>
      </c>
      <c r="DQ40" s="190">
        <f t="shared" ref="DQ40" si="628">SUM(DQ41:DQ52)</f>
        <v>1673709.8595997978</v>
      </c>
      <c r="DR40" s="190">
        <f t="shared" ref="DR40" si="629">SUM(DR41:DR52)</f>
        <v>1665899.6838826051</v>
      </c>
      <c r="DS40" s="190">
        <f t="shared" ref="DS40" si="630">SUM(DS41:DS52)</f>
        <v>1668205.7306829491</v>
      </c>
      <c r="DT40" s="190">
        <f t="shared" ref="DT40" si="631">SUM(DT41:DT52)</f>
        <v>1668007.3372716797</v>
      </c>
      <c r="DU40" s="190">
        <f t="shared" ref="DU40" si="632">SUM(DU41:DU52)</f>
        <v>1666992.2432646276</v>
      </c>
      <c r="DV40" s="190">
        <f t="shared" ref="DV40" si="633">SUM(DV41:DV52)</f>
        <v>1666999.7097838365</v>
      </c>
      <c r="DW40" s="190">
        <f t="shared" ref="DW40" si="634">SUM(DW41:DW52)</f>
        <v>1671980.9664738346</v>
      </c>
      <c r="DX40" s="190">
        <f t="shared" ref="DX40" si="635">SUM(DX41:DX52)</f>
        <v>1674557.0991303027</v>
      </c>
      <c r="DY40" s="190">
        <f t="shared" ref="DY40" si="636">SUM(DY41:DY52)</f>
        <v>1671021.1225584811</v>
      </c>
      <c r="DZ40" s="190">
        <f t="shared" ref="DZ40" si="637">SUM(DZ41:DZ52)</f>
        <v>1669236.0347198173</v>
      </c>
      <c r="EA40" s="201">
        <f t="shared" ref="EA40" si="638">SUM(EA41:EA52)</f>
        <v>1660797.8036431842</v>
      </c>
      <c r="EB40" s="225">
        <f>SUM(EB41:EB52)</f>
        <v>20032226.685562454</v>
      </c>
    </row>
    <row r="41" spans="1:132" s="7" customFormat="1" ht="24" customHeight="1">
      <c r="A41" s="193"/>
      <c r="B41" s="197" t="s">
        <v>197</v>
      </c>
      <c r="C41" s="177">
        <f>各種シミュレーション!$B$6*各種シミュレーション!$B$7*0.5</f>
        <v>240000</v>
      </c>
      <c r="D41" s="177">
        <f>各種シミュレーション!$B$6*各種シミュレーション!$B$7*0.5</f>
        <v>240000</v>
      </c>
      <c r="E41" s="177">
        <f>各種シミュレーション!$B$6*各種シミュレーション!$B$7</f>
        <v>480000</v>
      </c>
      <c r="F41" s="177">
        <f>各種シミュレーション!$B$6*各種シミュレーション!$B$7</f>
        <v>480000</v>
      </c>
      <c r="G41" s="177">
        <f>各種シミュレーション!$B$6*各種シミュレーション!$B$7</f>
        <v>480000</v>
      </c>
      <c r="H41" s="177">
        <f>各種シミュレーション!$B$6*各種シミュレーション!$B$7</f>
        <v>480000</v>
      </c>
      <c r="I41" s="177">
        <f>各種シミュレーション!$B$6*各種シミュレーション!$B$7</f>
        <v>480000</v>
      </c>
      <c r="J41" s="177">
        <f>各種シミュレーション!$B$6*各種シミュレーション!$B$7</f>
        <v>480000</v>
      </c>
      <c r="K41" s="177">
        <f>各種シミュレーション!$B$6*各種シミュレーション!$B$7</f>
        <v>480000</v>
      </c>
      <c r="L41" s="177">
        <f>各種シミュレーション!$B$6*各種シミュレーション!$B$7</f>
        <v>480000</v>
      </c>
      <c r="M41" s="177">
        <f>各種シミュレーション!$B$6*各種シミュレーション!$B$7</f>
        <v>480000</v>
      </c>
      <c r="N41" s="178">
        <f>各種シミュレーション!$B$6*各種シミュレーション!$B$7</f>
        <v>480000</v>
      </c>
      <c r="O41" s="179">
        <f t="shared" ref="O41:O51" si="639">SUM(C41:N41)</f>
        <v>5280000</v>
      </c>
      <c r="P41" s="180">
        <f>各種シミュレーション!$B$6*各種シミュレーション!$B$7</f>
        <v>480000</v>
      </c>
      <c r="Q41" s="177">
        <f>各種シミュレーション!$B$6*各種シミュレーション!$B$7</f>
        <v>480000</v>
      </c>
      <c r="R41" s="177">
        <f>各種シミュレーション!$B$6*各種シミュレーション!$B$7</f>
        <v>480000</v>
      </c>
      <c r="S41" s="177">
        <f>各種シミュレーション!$B$6*各種シミュレーション!$B$7</f>
        <v>480000</v>
      </c>
      <c r="T41" s="177">
        <f>各種シミュレーション!$B$6*各種シミュレーション!$B$7</f>
        <v>480000</v>
      </c>
      <c r="U41" s="177">
        <f>各種シミュレーション!$B$6*各種シミュレーション!$B$7</f>
        <v>480000</v>
      </c>
      <c r="V41" s="177">
        <f>各種シミュレーション!$B$6*各種シミュレーション!$B$7</f>
        <v>480000</v>
      </c>
      <c r="W41" s="177">
        <f>各種シミュレーション!$B$6*各種シミュレーション!$B$7</f>
        <v>480000</v>
      </c>
      <c r="X41" s="177">
        <f>各種シミュレーション!$B$6*各種シミュレーション!$B$7</f>
        <v>480000</v>
      </c>
      <c r="Y41" s="177">
        <f>各種シミュレーション!$B$6*各種シミュレーション!$B$7</f>
        <v>480000</v>
      </c>
      <c r="Z41" s="177">
        <f>各種シミュレーション!$B$6*各種シミュレーション!$B$7</f>
        <v>480000</v>
      </c>
      <c r="AA41" s="178">
        <f>各種シミュレーション!$B$6*各種シミュレーション!$B$7</f>
        <v>480000</v>
      </c>
      <c r="AB41" s="179">
        <f t="shared" si="221"/>
        <v>5760000</v>
      </c>
      <c r="AC41" s="180">
        <f>各種シミュレーション!$B$6*各種シミュレーション!$B$7</f>
        <v>480000</v>
      </c>
      <c r="AD41" s="177">
        <f>各種シミュレーション!$B$6*各種シミュレーション!$B$7</f>
        <v>480000</v>
      </c>
      <c r="AE41" s="177">
        <f>各種シミュレーション!$B$6*各種シミュレーション!$B$7</f>
        <v>480000</v>
      </c>
      <c r="AF41" s="177">
        <f>各種シミュレーション!$B$6*各種シミュレーション!$B$7</f>
        <v>480000</v>
      </c>
      <c r="AG41" s="177">
        <f>各種シミュレーション!$B$6*各種シミュレーション!$B$7</f>
        <v>480000</v>
      </c>
      <c r="AH41" s="177">
        <f>各種シミュレーション!$B$6*各種シミュレーション!$B$7</f>
        <v>480000</v>
      </c>
      <c r="AI41" s="177">
        <f>各種シミュレーション!$B$6*各種シミュレーション!$B$7</f>
        <v>480000</v>
      </c>
      <c r="AJ41" s="177">
        <f>各種シミュレーション!$B$6*各種シミュレーション!$B$7</f>
        <v>480000</v>
      </c>
      <c r="AK41" s="177">
        <f>各種シミュレーション!$B$6*各種シミュレーション!$B$7</f>
        <v>480000</v>
      </c>
      <c r="AL41" s="177">
        <f>各種シミュレーション!$B$6*各種シミュレーション!$B$7</f>
        <v>480000</v>
      </c>
      <c r="AM41" s="177">
        <f>各種シミュレーション!$B$6*各種シミュレーション!$B$7</f>
        <v>480000</v>
      </c>
      <c r="AN41" s="178">
        <f>各種シミュレーション!$B$6*各種シミュレーション!$B$7</f>
        <v>480000</v>
      </c>
      <c r="AO41" s="179">
        <f t="shared" si="454"/>
        <v>5760000</v>
      </c>
      <c r="AP41" s="180">
        <f>各種シミュレーション!$B$6*各種シミュレーション!$B$7</f>
        <v>480000</v>
      </c>
      <c r="AQ41" s="177">
        <f>各種シミュレーション!$B$6*各種シミュレーション!$B$7</f>
        <v>480000</v>
      </c>
      <c r="AR41" s="177">
        <f>各種シミュレーション!$B$6*各種シミュレーション!$B$7</f>
        <v>480000</v>
      </c>
      <c r="AS41" s="177">
        <f>各種シミュレーション!$B$6*各種シミュレーション!$B$7</f>
        <v>480000</v>
      </c>
      <c r="AT41" s="177">
        <f>各種シミュレーション!$B$6*各種シミュレーション!$B$7</f>
        <v>480000</v>
      </c>
      <c r="AU41" s="177">
        <f>各種シミュレーション!$B$6*各種シミュレーション!$B$7</f>
        <v>480000</v>
      </c>
      <c r="AV41" s="177">
        <f>各種シミュレーション!$B$6*各種シミュレーション!$B$7</f>
        <v>480000</v>
      </c>
      <c r="AW41" s="177">
        <f>各種シミュレーション!$B$6*各種シミュレーション!$B$7</f>
        <v>480000</v>
      </c>
      <c r="AX41" s="177">
        <f>各種シミュレーション!$B$6*各種シミュレーション!$B$7</f>
        <v>480000</v>
      </c>
      <c r="AY41" s="177">
        <f>各種シミュレーション!$B$6*各種シミュレーション!$B$7</f>
        <v>480000</v>
      </c>
      <c r="AZ41" s="177">
        <f>各種シミュレーション!$B$6*各種シミュレーション!$B$7</f>
        <v>480000</v>
      </c>
      <c r="BA41" s="178">
        <f>各種シミュレーション!$B$6*各種シミュレーション!$B$7</f>
        <v>480000</v>
      </c>
      <c r="BB41" s="179">
        <f t="shared" si="455"/>
        <v>5760000</v>
      </c>
      <c r="BC41" s="180">
        <f>各種シミュレーション!$B$6*各種シミュレーション!$B$7</f>
        <v>480000</v>
      </c>
      <c r="BD41" s="177">
        <f>各種シミュレーション!$B$6*各種シミュレーション!$B$7</f>
        <v>480000</v>
      </c>
      <c r="BE41" s="177">
        <f>各種シミュレーション!$B$6*各種シミュレーション!$B$7</f>
        <v>480000</v>
      </c>
      <c r="BF41" s="177">
        <f>各種シミュレーション!$B$6*各種シミュレーション!$B$7</f>
        <v>480000</v>
      </c>
      <c r="BG41" s="177">
        <f>各種シミュレーション!$B$6*各種シミュレーション!$B$7</f>
        <v>480000</v>
      </c>
      <c r="BH41" s="177">
        <f>各種シミュレーション!$B$6*各種シミュレーション!$B$7</f>
        <v>480000</v>
      </c>
      <c r="BI41" s="177">
        <f>各種シミュレーション!$B$6*各種シミュレーション!$B$7</f>
        <v>480000</v>
      </c>
      <c r="BJ41" s="177">
        <f>各種シミュレーション!$B$6*各種シミュレーション!$B$7</f>
        <v>480000</v>
      </c>
      <c r="BK41" s="177">
        <f>各種シミュレーション!$B$6*各種シミュレーション!$B$7</f>
        <v>480000</v>
      </c>
      <c r="BL41" s="177">
        <f>各種シミュレーション!$B$6*各種シミュレーション!$B$7</f>
        <v>480000</v>
      </c>
      <c r="BM41" s="177">
        <f>各種シミュレーション!$B$6*各種シミュレーション!$B$7</f>
        <v>480000</v>
      </c>
      <c r="BN41" s="178">
        <f>各種シミュレーション!$B$6*各種シミュレーション!$B$7</f>
        <v>480000</v>
      </c>
      <c r="BO41" s="179">
        <f t="shared" si="456"/>
        <v>5760000</v>
      </c>
      <c r="BP41" s="180">
        <f>各種シミュレーション!$B$6*各種シミュレーション!$B$7</f>
        <v>480000</v>
      </c>
      <c r="BQ41" s="177">
        <f>各種シミュレーション!$B$6*各種シミュレーション!$B$7</f>
        <v>480000</v>
      </c>
      <c r="BR41" s="177">
        <f>各種シミュレーション!$B$6*各種シミュレーション!$B$7</f>
        <v>480000</v>
      </c>
      <c r="BS41" s="177">
        <f>各種シミュレーション!$B$6*各種シミュレーション!$B$7</f>
        <v>480000</v>
      </c>
      <c r="BT41" s="177">
        <f>各種シミュレーション!$B$6*各種シミュレーション!$B$7</f>
        <v>480000</v>
      </c>
      <c r="BU41" s="177">
        <f>各種シミュレーション!$B$6*各種シミュレーション!$B$7</f>
        <v>480000</v>
      </c>
      <c r="BV41" s="177">
        <f>各種シミュレーション!$B$6*各種シミュレーション!$B$7</f>
        <v>480000</v>
      </c>
      <c r="BW41" s="177">
        <f>各種シミュレーション!$B$6*各種シミュレーション!$B$7</f>
        <v>480000</v>
      </c>
      <c r="BX41" s="177">
        <f>各種シミュレーション!$B$6*各種シミュレーション!$B$7</f>
        <v>480000</v>
      </c>
      <c r="BY41" s="177">
        <f>各種シミュレーション!$B$6*各種シミュレーション!$B$7</f>
        <v>480000</v>
      </c>
      <c r="BZ41" s="177">
        <f>各種シミュレーション!$B$6*各種シミュレーション!$B$7</f>
        <v>480000</v>
      </c>
      <c r="CA41" s="178">
        <f>各種シミュレーション!$B$6*各種シミュレーション!$B$7</f>
        <v>480000</v>
      </c>
      <c r="CB41" s="179">
        <f t="shared" si="457"/>
        <v>5760000</v>
      </c>
      <c r="CC41" s="180">
        <f>各種シミュレーション!$B$6*各種シミュレーション!$B$7</f>
        <v>480000</v>
      </c>
      <c r="CD41" s="177">
        <f>各種シミュレーション!$B$6*各種シミュレーション!$B$7</f>
        <v>480000</v>
      </c>
      <c r="CE41" s="177">
        <f>各種シミュレーション!$B$6*各種シミュレーション!$B$7</f>
        <v>480000</v>
      </c>
      <c r="CF41" s="177">
        <f>各種シミュレーション!$B$6*各種シミュレーション!$B$7</f>
        <v>480000</v>
      </c>
      <c r="CG41" s="177">
        <f>各種シミュレーション!$B$6*各種シミュレーション!$B$7</f>
        <v>480000</v>
      </c>
      <c r="CH41" s="177">
        <f>各種シミュレーション!$B$6*各種シミュレーション!$B$7</f>
        <v>480000</v>
      </c>
      <c r="CI41" s="177">
        <f>各種シミュレーション!$B$6*各種シミュレーション!$B$7</f>
        <v>480000</v>
      </c>
      <c r="CJ41" s="177">
        <f>各種シミュレーション!$B$6*各種シミュレーション!$B$7</f>
        <v>480000</v>
      </c>
      <c r="CK41" s="177">
        <f>各種シミュレーション!$B$6*各種シミュレーション!$B$7</f>
        <v>480000</v>
      </c>
      <c r="CL41" s="177">
        <f>各種シミュレーション!$B$6*各種シミュレーション!$B$7</f>
        <v>480000</v>
      </c>
      <c r="CM41" s="177">
        <f>各種シミュレーション!$B$6*各種シミュレーション!$B$7</f>
        <v>480000</v>
      </c>
      <c r="CN41" s="178">
        <f>各種シミュレーション!$B$6*各種シミュレーション!$B$7</f>
        <v>480000</v>
      </c>
      <c r="CO41" s="179">
        <f t="shared" si="458"/>
        <v>5760000</v>
      </c>
      <c r="CP41" s="180">
        <f>各種シミュレーション!$B$6*各種シミュレーション!$B$7</f>
        <v>480000</v>
      </c>
      <c r="CQ41" s="177">
        <f>各種シミュレーション!$B$6*各種シミュレーション!$B$7</f>
        <v>480000</v>
      </c>
      <c r="CR41" s="177">
        <f>各種シミュレーション!$B$6*各種シミュレーション!$B$7</f>
        <v>480000</v>
      </c>
      <c r="CS41" s="177">
        <f>各種シミュレーション!$B$6*各種シミュレーション!$B$7</f>
        <v>480000</v>
      </c>
      <c r="CT41" s="177">
        <f>各種シミュレーション!$B$6*各種シミュレーション!$B$7</f>
        <v>480000</v>
      </c>
      <c r="CU41" s="177">
        <f>各種シミュレーション!$B$6*各種シミュレーション!$B$7</f>
        <v>480000</v>
      </c>
      <c r="CV41" s="177">
        <f>各種シミュレーション!$B$6*各種シミュレーション!$B$7</f>
        <v>480000</v>
      </c>
      <c r="CW41" s="177">
        <f>各種シミュレーション!$B$6*各種シミュレーション!$B$7</f>
        <v>480000</v>
      </c>
      <c r="CX41" s="177">
        <f>各種シミュレーション!$B$6*各種シミュレーション!$B$7</f>
        <v>480000</v>
      </c>
      <c r="CY41" s="177">
        <f>各種シミュレーション!$B$6*各種シミュレーション!$B$7</f>
        <v>480000</v>
      </c>
      <c r="CZ41" s="177">
        <f>各種シミュレーション!$B$6*各種シミュレーション!$B$7</f>
        <v>480000</v>
      </c>
      <c r="DA41" s="178">
        <f>各種シミュレーション!$B$6*各種シミュレーション!$B$7</f>
        <v>480000</v>
      </c>
      <c r="DB41" s="179">
        <f t="shared" si="459"/>
        <v>5760000</v>
      </c>
      <c r="DC41" s="180">
        <f>各種シミュレーション!$B$6*各種シミュレーション!$B$7</f>
        <v>480000</v>
      </c>
      <c r="DD41" s="177">
        <f>各種シミュレーション!$B$6*各種シミュレーション!$B$7</f>
        <v>480000</v>
      </c>
      <c r="DE41" s="177">
        <f>各種シミュレーション!$B$6*各種シミュレーション!$B$7</f>
        <v>480000</v>
      </c>
      <c r="DF41" s="177">
        <f>各種シミュレーション!$B$6*各種シミュレーション!$B$7</f>
        <v>480000</v>
      </c>
      <c r="DG41" s="177">
        <f>各種シミュレーション!$B$6*各種シミュレーション!$B$7</f>
        <v>480000</v>
      </c>
      <c r="DH41" s="177">
        <f>各種シミュレーション!$B$6*各種シミュレーション!$B$7</f>
        <v>480000</v>
      </c>
      <c r="DI41" s="177">
        <f>各種シミュレーション!$B$6*各種シミュレーション!$B$7</f>
        <v>480000</v>
      </c>
      <c r="DJ41" s="177">
        <f>各種シミュレーション!$B$6*各種シミュレーション!$B$7</f>
        <v>480000</v>
      </c>
      <c r="DK41" s="177">
        <f>各種シミュレーション!$B$6*各種シミュレーション!$B$7</f>
        <v>480000</v>
      </c>
      <c r="DL41" s="177">
        <f>各種シミュレーション!$B$6*各種シミュレーション!$B$7</f>
        <v>480000</v>
      </c>
      <c r="DM41" s="177">
        <f>各種シミュレーション!$B$6*各種シミュレーション!$B$7</f>
        <v>480000</v>
      </c>
      <c r="DN41" s="178">
        <f>各種シミュレーション!$B$6*各種シミュレーション!$B$7</f>
        <v>480000</v>
      </c>
      <c r="DO41" s="179">
        <f t="shared" si="460"/>
        <v>5760000</v>
      </c>
      <c r="DP41" s="180">
        <f>各種シミュレーション!$B$6*各種シミュレーション!$B$7</f>
        <v>480000</v>
      </c>
      <c r="DQ41" s="177">
        <f>各種シミュレーション!$B$6*各種シミュレーション!$B$7</f>
        <v>480000</v>
      </c>
      <c r="DR41" s="177">
        <f>各種シミュレーション!$B$6*各種シミュレーション!$B$7</f>
        <v>480000</v>
      </c>
      <c r="DS41" s="177">
        <f>各種シミュレーション!$B$6*各種シミュレーション!$B$7</f>
        <v>480000</v>
      </c>
      <c r="DT41" s="177">
        <f>各種シミュレーション!$B$6*各種シミュレーション!$B$7</f>
        <v>480000</v>
      </c>
      <c r="DU41" s="177">
        <f>各種シミュレーション!$B$6*各種シミュレーション!$B$7</f>
        <v>480000</v>
      </c>
      <c r="DV41" s="177">
        <f>各種シミュレーション!$B$6*各種シミュレーション!$B$7</f>
        <v>480000</v>
      </c>
      <c r="DW41" s="177">
        <f>各種シミュレーション!$B$6*各種シミュレーション!$B$7</f>
        <v>480000</v>
      </c>
      <c r="DX41" s="177">
        <f>各種シミュレーション!$B$6*各種シミュレーション!$B$7</f>
        <v>480000</v>
      </c>
      <c r="DY41" s="177">
        <f>各種シミュレーション!$B$6*各種シミュレーション!$B$7</f>
        <v>480000</v>
      </c>
      <c r="DZ41" s="177">
        <f>各種シミュレーション!$B$6*各種シミュレーション!$B$7</f>
        <v>480000</v>
      </c>
      <c r="EA41" s="178">
        <f>各種シミュレーション!$B$6*各種シミュレーション!$B$7</f>
        <v>480000</v>
      </c>
      <c r="EB41" s="181">
        <f t="shared" si="461"/>
        <v>5760000</v>
      </c>
    </row>
    <row r="42" spans="1:132" s="7" customFormat="1" ht="24" customHeight="1">
      <c r="A42" s="199"/>
      <c r="B42" s="202" t="s">
        <v>266</v>
      </c>
      <c r="C42" s="2"/>
      <c r="D42" s="2">
        <f>各種シミュレーション!$B$16</f>
        <v>0</v>
      </c>
      <c r="E42" s="2">
        <f>各種シミュレーション!$B$16</f>
        <v>0</v>
      </c>
      <c r="F42" s="2">
        <f>各種シミュレーション!$B$16</f>
        <v>0</v>
      </c>
      <c r="G42" s="2">
        <f>各種シミュレーション!$B$16</f>
        <v>0</v>
      </c>
      <c r="H42" s="2">
        <f>各種シミュレーション!$B$16</f>
        <v>0</v>
      </c>
      <c r="I42" s="2">
        <f>各種シミュレーション!$B$16</f>
        <v>0</v>
      </c>
      <c r="J42" s="2">
        <f>各種シミュレーション!$B$16</f>
        <v>0</v>
      </c>
      <c r="K42" s="2">
        <f>各種シミュレーション!$B$16</f>
        <v>0</v>
      </c>
      <c r="L42" s="2">
        <f>各種シミュレーション!$B$16</f>
        <v>0</v>
      </c>
      <c r="M42" s="2">
        <f>各種シミュレーション!$B$16</f>
        <v>0</v>
      </c>
      <c r="N42" s="2">
        <f>各種シミュレーション!$B$16</f>
        <v>0</v>
      </c>
      <c r="O42" s="5">
        <f t="shared" si="639"/>
        <v>0</v>
      </c>
      <c r="P42" s="2">
        <f>各種シミュレーション!$B$16</f>
        <v>0</v>
      </c>
      <c r="Q42" s="2">
        <f>各種シミュレーション!$B$16</f>
        <v>0</v>
      </c>
      <c r="R42" s="2">
        <f>各種シミュレーション!$B$16</f>
        <v>0</v>
      </c>
      <c r="S42" s="2">
        <f>各種シミュレーション!$B$16</f>
        <v>0</v>
      </c>
      <c r="T42" s="2">
        <f>各種シミュレーション!$B$16</f>
        <v>0</v>
      </c>
      <c r="U42" s="2">
        <f>各種シミュレーション!$B$16</f>
        <v>0</v>
      </c>
      <c r="V42" s="2">
        <f>各種シミュレーション!$B$16</f>
        <v>0</v>
      </c>
      <c r="W42" s="2">
        <f>各種シミュレーション!$B$16</f>
        <v>0</v>
      </c>
      <c r="X42" s="2">
        <f>各種シミュレーション!$B$16</f>
        <v>0</v>
      </c>
      <c r="Y42" s="2">
        <f>各種シミュレーション!$B$16</f>
        <v>0</v>
      </c>
      <c r="Z42" s="2">
        <f>各種シミュレーション!$B$16</f>
        <v>0</v>
      </c>
      <c r="AA42" s="2">
        <f>各種シミュレーション!$B$16</f>
        <v>0</v>
      </c>
      <c r="AB42" s="5">
        <f>SUM(P42:AA42)</f>
        <v>0</v>
      </c>
      <c r="AC42" s="2">
        <f>各種シミュレーション!$B$16</f>
        <v>0</v>
      </c>
      <c r="AD42" s="2">
        <f>各種シミュレーション!$B$16</f>
        <v>0</v>
      </c>
      <c r="AE42" s="2">
        <f>各種シミュレーション!$B$16</f>
        <v>0</v>
      </c>
      <c r="AF42" s="2">
        <f>各種シミュレーション!$B$16</f>
        <v>0</v>
      </c>
      <c r="AG42" s="2">
        <f>各種シミュレーション!$B$16</f>
        <v>0</v>
      </c>
      <c r="AH42" s="2">
        <f>各種シミュレーション!$B$16</f>
        <v>0</v>
      </c>
      <c r="AI42" s="2">
        <f>各種シミュレーション!$B$16</f>
        <v>0</v>
      </c>
      <c r="AJ42" s="2">
        <f>各種シミュレーション!$B$16</f>
        <v>0</v>
      </c>
      <c r="AK42" s="2">
        <f>各種シミュレーション!$B$16</f>
        <v>0</v>
      </c>
      <c r="AL42" s="2">
        <f>各種シミュレーション!$B$16</f>
        <v>0</v>
      </c>
      <c r="AM42" s="2">
        <f>各種シミュレーション!$B$16</f>
        <v>0</v>
      </c>
      <c r="AN42" s="2">
        <f>各種シミュレーション!$B$16</f>
        <v>0</v>
      </c>
      <c r="AO42" s="5">
        <f>SUM(AC42:AN42)</f>
        <v>0</v>
      </c>
      <c r="AP42" s="2">
        <f>各種シミュレーション!$B$16</f>
        <v>0</v>
      </c>
      <c r="AQ42" s="2">
        <f>各種シミュレーション!$B$16</f>
        <v>0</v>
      </c>
      <c r="AR42" s="2">
        <f>各種シミュレーション!$B$16</f>
        <v>0</v>
      </c>
      <c r="AS42" s="2">
        <f>各種シミュレーション!$B$16</f>
        <v>0</v>
      </c>
      <c r="AT42" s="2">
        <f>各種シミュレーション!$B$16</f>
        <v>0</v>
      </c>
      <c r="AU42" s="2">
        <f>各種シミュレーション!$B$16</f>
        <v>0</v>
      </c>
      <c r="AV42" s="2">
        <f>各種シミュレーション!$B$16</f>
        <v>0</v>
      </c>
      <c r="AW42" s="2">
        <f>各種シミュレーション!$B$16</f>
        <v>0</v>
      </c>
      <c r="AX42" s="2">
        <f>各種シミュレーション!$B$16</f>
        <v>0</v>
      </c>
      <c r="AY42" s="2">
        <f>各種シミュレーション!$B$16</f>
        <v>0</v>
      </c>
      <c r="AZ42" s="2">
        <f>各種シミュレーション!$B$16</f>
        <v>0</v>
      </c>
      <c r="BA42" s="2">
        <f>各種シミュレーション!$B$16</f>
        <v>0</v>
      </c>
      <c r="BB42" s="5">
        <f>SUM(AP42:BA42)</f>
        <v>0</v>
      </c>
      <c r="BC42" s="2">
        <f>各種シミュレーション!$B$16</f>
        <v>0</v>
      </c>
      <c r="BD42" s="2">
        <f>各種シミュレーション!$B$16</f>
        <v>0</v>
      </c>
      <c r="BE42" s="2">
        <f>各種シミュレーション!$B$16</f>
        <v>0</v>
      </c>
      <c r="BF42" s="2">
        <f>各種シミュレーション!$B$16</f>
        <v>0</v>
      </c>
      <c r="BG42" s="2">
        <f>各種シミュレーション!$B$16</f>
        <v>0</v>
      </c>
      <c r="BH42" s="2">
        <f>各種シミュレーション!$B$16</f>
        <v>0</v>
      </c>
      <c r="BI42" s="2">
        <f>各種シミュレーション!$B$16</f>
        <v>0</v>
      </c>
      <c r="BJ42" s="2">
        <f>各種シミュレーション!$B$16</f>
        <v>0</v>
      </c>
      <c r="BK42" s="2">
        <f>各種シミュレーション!$B$16</f>
        <v>0</v>
      </c>
      <c r="BL42" s="2">
        <f>各種シミュレーション!$B$16</f>
        <v>0</v>
      </c>
      <c r="BM42" s="2">
        <f>各種シミュレーション!$B$16</f>
        <v>0</v>
      </c>
      <c r="BN42" s="2">
        <f>各種シミュレーション!$B$16</f>
        <v>0</v>
      </c>
      <c r="BO42" s="5">
        <f>SUM(BC42:BN42)</f>
        <v>0</v>
      </c>
      <c r="BP42" s="2">
        <f>各種シミュレーション!$B$16</f>
        <v>0</v>
      </c>
      <c r="BQ42" s="2">
        <f>各種シミュレーション!$B$16</f>
        <v>0</v>
      </c>
      <c r="BR42" s="2">
        <f>各種シミュレーション!$B$16</f>
        <v>0</v>
      </c>
      <c r="BS42" s="2">
        <f>各種シミュレーション!$B$16</f>
        <v>0</v>
      </c>
      <c r="BT42" s="2">
        <f>各種シミュレーション!$B$16</f>
        <v>0</v>
      </c>
      <c r="BU42" s="2">
        <f>各種シミュレーション!$B$16</f>
        <v>0</v>
      </c>
      <c r="BV42" s="2">
        <f>各種シミュレーション!$B$16</f>
        <v>0</v>
      </c>
      <c r="BW42" s="2">
        <f>各種シミュレーション!$B$16</f>
        <v>0</v>
      </c>
      <c r="BX42" s="2">
        <f>各種シミュレーション!$B$16</f>
        <v>0</v>
      </c>
      <c r="BY42" s="2">
        <f>各種シミュレーション!$B$16</f>
        <v>0</v>
      </c>
      <c r="BZ42" s="2">
        <f>各種シミュレーション!$B$16</f>
        <v>0</v>
      </c>
      <c r="CA42" s="2">
        <f>各種シミュレーション!$B$16</f>
        <v>0</v>
      </c>
      <c r="CB42" s="5">
        <f>SUM(BP42:CA42)</f>
        <v>0</v>
      </c>
      <c r="CC42" s="2">
        <f>各種シミュレーション!$B$16</f>
        <v>0</v>
      </c>
      <c r="CD42" s="2">
        <f>各種シミュレーション!$B$16</f>
        <v>0</v>
      </c>
      <c r="CE42" s="2">
        <f>各種シミュレーション!$B$16</f>
        <v>0</v>
      </c>
      <c r="CF42" s="2">
        <f>各種シミュレーション!$B$16</f>
        <v>0</v>
      </c>
      <c r="CG42" s="2">
        <f>各種シミュレーション!$B$16</f>
        <v>0</v>
      </c>
      <c r="CH42" s="2">
        <f>各種シミュレーション!$B$16</f>
        <v>0</v>
      </c>
      <c r="CI42" s="2">
        <f>各種シミュレーション!$B$16</f>
        <v>0</v>
      </c>
      <c r="CJ42" s="2">
        <f>各種シミュレーション!$B$16</f>
        <v>0</v>
      </c>
      <c r="CK42" s="2">
        <f>各種シミュレーション!$B$16</f>
        <v>0</v>
      </c>
      <c r="CL42" s="2">
        <f>各種シミュレーション!$B$16</f>
        <v>0</v>
      </c>
      <c r="CM42" s="2">
        <f>各種シミュレーション!$B$16</f>
        <v>0</v>
      </c>
      <c r="CN42" s="2">
        <f>各種シミュレーション!$B$16</f>
        <v>0</v>
      </c>
      <c r="CO42" s="5">
        <f>SUM(CC42:CN42)</f>
        <v>0</v>
      </c>
      <c r="CP42" s="2">
        <f>各種シミュレーション!$B$16</f>
        <v>0</v>
      </c>
      <c r="CQ42" s="2">
        <f>各種シミュレーション!$B$16</f>
        <v>0</v>
      </c>
      <c r="CR42" s="2">
        <f>各種シミュレーション!$B$16</f>
        <v>0</v>
      </c>
      <c r="CS42" s="2">
        <f>各種シミュレーション!$B$16</f>
        <v>0</v>
      </c>
      <c r="CT42" s="2">
        <f>各種シミュレーション!$B$16</f>
        <v>0</v>
      </c>
      <c r="CU42" s="2">
        <f>各種シミュレーション!$B$16</f>
        <v>0</v>
      </c>
      <c r="CV42" s="2">
        <f>各種シミュレーション!$B$16</f>
        <v>0</v>
      </c>
      <c r="CW42" s="2">
        <f>各種シミュレーション!$B$16</f>
        <v>0</v>
      </c>
      <c r="CX42" s="2">
        <f>各種シミュレーション!$B$16</f>
        <v>0</v>
      </c>
      <c r="CY42" s="2">
        <f>各種シミュレーション!$B$16</f>
        <v>0</v>
      </c>
      <c r="CZ42" s="2">
        <f>各種シミュレーション!$B$16</f>
        <v>0</v>
      </c>
      <c r="DA42" s="2">
        <f>各種シミュレーション!$B$16</f>
        <v>0</v>
      </c>
      <c r="DB42" s="5">
        <f>SUM(CP42:DA42)</f>
        <v>0</v>
      </c>
      <c r="DC42" s="2">
        <f>各種シミュレーション!$B$16</f>
        <v>0</v>
      </c>
      <c r="DD42" s="2">
        <f>各種シミュレーション!$B$16</f>
        <v>0</v>
      </c>
      <c r="DE42" s="2">
        <f>各種シミュレーション!$B$16</f>
        <v>0</v>
      </c>
      <c r="DF42" s="2">
        <f>各種シミュレーション!$B$16</f>
        <v>0</v>
      </c>
      <c r="DG42" s="2">
        <f>各種シミュレーション!$B$16</f>
        <v>0</v>
      </c>
      <c r="DH42" s="2">
        <f>各種シミュレーション!$B$16</f>
        <v>0</v>
      </c>
      <c r="DI42" s="2">
        <f>各種シミュレーション!$B$16</f>
        <v>0</v>
      </c>
      <c r="DJ42" s="2">
        <f>各種シミュレーション!$B$16</f>
        <v>0</v>
      </c>
      <c r="DK42" s="2">
        <f>各種シミュレーション!$B$16</f>
        <v>0</v>
      </c>
      <c r="DL42" s="2">
        <f>各種シミュレーション!$B$16</f>
        <v>0</v>
      </c>
      <c r="DM42" s="2">
        <f>各種シミュレーション!$B$16</f>
        <v>0</v>
      </c>
      <c r="DN42" s="2">
        <f>各種シミュレーション!$B$16</f>
        <v>0</v>
      </c>
      <c r="DO42" s="5">
        <f>SUM(DC42:DN42)</f>
        <v>0</v>
      </c>
      <c r="DP42" s="2">
        <f>各種シミュレーション!$B$16</f>
        <v>0</v>
      </c>
      <c r="DQ42" s="2">
        <f>各種シミュレーション!$B$16</f>
        <v>0</v>
      </c>
      <c r="DR42" s="2">
        <f>各種シミュレーション!$B$16</f>
        <v>0</v>
      </c>
      <c r="DS42" s="2">
        <f>各種シミュレーション!$B$16</f>
        <v>0</v>
      </c>
      <c r="DT42" s="2">
        <f>各種シミュレーション!$B$16</f>
        <v>0</v>
      </c>
      <c r="DU42" s="2">
        <f>各種シミュレーション!$B$16</f>
        <v>0</v>
      </c>
      <c r="DV42" s="2">
        <f>各種シミュレーション!$B$16</f>
        <v>0</v>
      </c>
      <c r="DW42" s="2">
        <f>各種シミュレーション!$B$16</f>
        <v>0</v>
      </c>
      <c r="DX42" s="2">
        <f>各種シミュレーション!$B$16</f>
        <v>0</v>
      </c>
      <c r="DY42" s="2">
        <f>各種シミュレーション!$B$16</f>
        <v>0</v>
      </c>
      <c r="DZ42" s="2">
        <f>各種シミュレーション!$B$16</f>
        <v>0</v>
      </c>
      <c r="EA42" s="2">
        <f>各種シミュレーション!$B$16</f>
        <v>0</v>
      </c>
      <c r="EB42" s="6">
        <f>SUM(DP42:EA42)</f>
        <v>0</v>
      </c>
    </row>
    <row r="43" spans="1:132" s="7" customFormat="1" ht="24" customHeight="1">
      <c r="A43" s="193"/>
      <c r="B43" s="202" t="s">
        <v>198</v>
      </c>
      <c r="C43" s="2"/>
      <c r="D43" s="2">
        <f>E43*0.3</f>
        <v>45000</v>
      </c>
      <c r="E43" s="2">
        <v>150000</v>
      </c>
      <c r="F43" s="2">
        <v>150000</v>
      </c>
      <c r="G43" s="2">
        <v>150000</v>
      </c>
      <c r="H43" s="2">
        <v>150000</v>
      </c>
      <c r="I43" s="2">
        <v>150000</v>
      </c>
      <c r="J43" s="2">
        <v>150000</v>
      </c>
      <c r="K43" s="2">
        <v>150000</v>
      </c>
      <c r="L43" s="2">
        <v>150000</v>
      </c>
      <c r="M43" s="2">
        <v>150000</v>
      </c>
      <c r="N43" s="3">
        <v>150000</v>
      </c>
      <c r="O43" s="5">
        <f t="shared" si="639"/>
        <v>1545000</v>
      </c>
      <c r="P43" s="180">
        <v>150000</v>
      </c>
      <c r="Q43" s="177">
        <v>150000</v>
      </c>
      <c r="R43" s="177">
        <v>150000</v>
      </c>
      <c r="S43" s="177">
        <v>150000</v>
      </c>
      <c r="T43" s="177">
        <v>150000</v>
      </c>
      <c r="U43" s="177">
        <v>150000</v>
      </c>
      <c r="V43" s="177">
        <v>150000</v>
      </c>
      <c r="W43" s="177">
        <v>150000</v>
      </c>
      <c r="X43" s="177">
        <v>150000</v>
      </c>
      <c r="Y43" s="177">
        <v>150000</v>
      </c>
      <c r="Z43" s="177">
        <v>150000</v>
      </c>
      <c r="AA43" s="178">
        <v>150000</v>
      </c>
      <c r="AB43" s="179">
        <f t="shared" si="221"/>
        <v>1800000</v>
      </c>
      <c r="AC43" s="180">
        <v>150000</v>
      </c>
      <c r="AD43" s="177">
        <v>150000</v>
      </c>
      <c r="AE43" s="177">
        <v>150000</v>
      </c>
      <c r="AF43" s="177">
        <v>150000</v>
      </c>
      <c r="AG43" s="177">
        <v>150000</v>
      </c>
      <c r="AH43" s="177">
        <v>150000</v>
      </c>
      <c r="AI43" s="177">
        <v>150000</v>
      </c>
      <c r="AJ43" s="177">
        <v>150000</v>
      </c>
      <c r="AK43" s="177">
        <v>150000</v>
      </c>
      <c r="AL43" s="177">
        <v>150000</v>
      </c>
      <c r="AM43" s="177">
        <v>150000</v>
      </c>
      <c r="AN43" s="178">
        <v>150000</v>
      </c>
      <c r="AO43" s="179">
        <f t="shared" si="454"/>
        <v>1800000</v>
      </c>
      <c r="AP43" s="180">
        <v>150000</v>
      </c>
      <c r="AQ43" s="177">
        <v>150000</v>
      </c>
      <c r="AR43" s="177">
        <v>150000</v>
      </c>
      <c r="AS43" s="177">
        <v>150000</v>
      </c>
      <c r="AT43" s="177">
        <v>150000</v>
      </c>
      <c r="AU43" s="177">
        <v>150000</v>
      </c>
      <c r="AV43" s="177">
        <v>150000</v>
      </c>
      <c r="AW43" s="177">
        <v>150000</v>
      </c>
      <c r="AX43" s="177">
        <v>150000</v>
      </c>
      <c r="AY43" s="177">
        <v>150000</v>
      </c>
      <c r="AZ43" s="177">
        <v>150000</v>
      </c>
      <c r="BA43" s="178">
        <v>150000</v>
      </c>
      <c r="BB43" s="179">
        <f t="shared" si="455"/>
        <v>1800000</v>
      </c>
      <c r="BC43" s="180">
        <v>150000</v>
      </c>
      <c r="BD43" s="177">
        <v>150000</v>
      </c>
      <c r="BE43" s="177">
        <v>150000</v>
      </c>
      <c r="BF43" s="177">
        <v>150000</v>
      </c>
      <c r="BG43" s="177">
        <v>150000</v>
      </c>
      <c r="BH43" s="177">
        <v>150000</v>
      </c>
      <c r="BI43" s="177">
        <v>150000</v>
      </c>
      <c r="BJ43" s="177">
        <v>150000</v>
      </c>
      <c r="BK43" s="177">
        <v>150000</v>
      </c>
      <c r="BL43" s="177">
        <v>150000</v>
      </c>
      <c r="BM43" s="177">
        <v>150000</v>
      </c>
      <c r="BN43" s="178">
        <v>150000</v>
      </c>
      <c r="BO43" s="179">
        <f t="shared" si="456"/>
        <v>1800000</v>
      </c>
      <c r="BP43" s="180">
        <v>150000</v>
      </c>
      <c r="BQ43" s="177">
        <v>150000</v>
      </c>
      <c r="BR43" s="177">
        <v>150000</v>
      </c>
      <c r="BS43" s="177">
        <v>150000</v>
      </c>
      <c r="BT43" s="177">
        <v>150000</v>
      </c>
      <c r="BU43" s="177">
        <v>150000</v>
      </c>
      <c r="BV43" s="177">
        <v>150000</v>
      </c>
      <c r="BW43" s="177">
        <v>150000</v>
      </c>
      <c r="BX43" s="177">
        <v>150000</v>
      </c>
      <c r="BY43" s="177">
        <v>150000</v>
      </c>
      <c r="BZ43" s="177">
        <v>150000</v>
      </c>
      <c r="CA43" s="178">
        <v>150000</v>
      </c>
      <c r="CB43" s="179">
        <f t="shared" si="457"/>
        <v>1800000</v>
      </c>
      <c r="CC43" s="180">
        <v>150000</v>
      </c>
      <c r="CD43" s="177">
        <v>150000</v>
      </c>
      <c r="CE43" s="177">
        <v>150000</v>
      </c>
      <c r="CF43" s="177">
        <v>150000</v>
      </c>
      <c r="CG43" s="177">
        <v>150000</v>
      </c>
      <c r="CH43" s="177">
        <v>150000</v>
      </c>
      <c r="CI43" s="177">
        <v>150000</v>
      </c>
      <c r="CJ43" s="177">
        <v>150000</v>
      </c>
      <c r="CK43" s="177">
        <v>150000</v>
      </c>
      <c r="CL43" s="177">
        <v>150000</v>
      </c>
      <c r="CM43" s="177">
        <v>150000</v>
      </c>
      <c r="CN43" s="178">
        <v>150000</v>
      </c>
      <c r="CO43" s="179">
        <f t="shared" si="458"/>
        <v>1800000</v>
      </c>
      <c r="CP43" s="180">
        <v>150000</v>
      </c>
      <c r="CQ43" s="177">
        <v>150000</v>
      </c>
      <c r="CR43" s="177">
        <v>150000</v>
      </c>
      <c r="CS43" s="177">
        <v>150000</v>
      </c>
      <c r="CT43" s="177">
        <v>150000</v>
      </c>
      <c r="CU43" s="177">
        <v>150000</v>
      </c>
      <c r="CV43" s="177">
        <v>150000</v>
      </c>
      <c r="CW43" s="177">
        <v>150000</v>
      </c>
      <c r="CX43" s="177">
        <v>150000</v>
      </c>
      <c r="CY43" s="177">
        <v>150000</v>
      </c>
      <c r="CZ43" s="177">
        <v>150000</v>
      </c>
      <c r="DA43" s="178">
        <v>150000</v>
      </c>
      <c r="DB43" s="179">
        <f t="shared" si="459"/>
        <v>1800000</v>
      </c>
      <c r="DC43" s="180">
        <v>150000</v>
      </c>
      <c r="DD43" s="177">
        <v>150000</v>
      </c>
      <c r="DE43" s="177">
        <v>150000</v>
      </c>
      <c r="DF43" s="177">
        <v>150000</v>
      </c>
      <c r="DG43" s="177">
        <v>150000</v>
      </c>
      <c r="DH43" s="177">
        <v>150000</v>
      </c>
      <c r="DI43" s="177">
        <v>150000</v>
      </c>
      <c r="DJ43" s="177">
        <v>150000</v>
      </c>
      <c r="DK43" s="177">
        <v>150000</v>
      </c>
      <c r="DL43" s="177">
        <v>150000</v>
      </c>
      <c r="DM43" s="177">
        <v>150000</v>
      </c>
      <c r="DN43" s="178">
        <v>150000</v>
      </c>
      <c r="DO43" s="179">
        <f t="shared" si="460"/>
        <v>1800000</v>
      </c>
      <c r="DP43" s="180">
        <v>150000</v>
      </c>
      <c r="DQ43" s="177">
        <v>150000</v>
      </c>
      <c r="DR43" s="177">
        <v>150000</v>
      </c>
      <c r="DS43" s="177">
        <v>150000</v>
      </c>
      <c r="DT43" s="177">
        <v>150000</v>
      </c>
      <c r="DU43" s="177">
        <v>150000</v>
      </c>
      <c r="DV43" s="177">
        <v>150000</v>
      </c>
      <c r="DW43" s="177">
        <v>150000</v>
      </c>
      <c r="DX43" s="177">
        <v>150000</v>
      </c>
      <c r="DY43" s="177">
        <v>150000</v>
      </c>
      <c r="DZ43" s="177">
        <v>150000</v>
      </c>
      <c r="EA43" s="178">
        <v>150000</v>
      </c>
      <c r="EB43" s="181">
        <f t="shared" si="461"/>
        <v>1800000</v>
      </c>
    </row>
    <row r="44" spans="1:132" s="7" customFormat="1" ht="24" customHeight="1">
      <c r="A44" s="193"/>
      <c r="B44" s="197" t="s">
        <v>199</v>
      </c>
      <c r="C44" s="2"/>
      <c r="D44" s="2"/>
      <c r="E44" s="177">
        <v>70000</v>
      </c>
      <c r="F44" s="177">
        <v>70000</v>
      </c>
      <c r="G44" s="177">
        <f>$F$44</f>
        <v>70000</v>
      </c>
      <c r="H44" s="177">
        <f t="shared" ref="H44:N44" si="640">$F$44</f>
        <v>70000</v>
      </c>
      <c r="I44" s="177">
        <f t="shared" si="640"/>
        <v>70000</v>
      </c>
      <c r="J44" s="177">
        <f t="shared" si="640"/>
        <v>70000</v>
      </c>
      <c r="K44" s="177">
        <f t="shared" si="640"/>
        <v>70000</v>
      </c>
      <c r="L44" s="177">
        <f t="shared" si="640"/>
        <v>70000</v>
      </c>
      <c r="M44" s="177">
        <f t="shared" si="640"/>
        <v>70000</v>
      </c>
      <c r="N44" s="178">
        <f t="shared" si="640"/>
        <v>70000</v>
      </c>
      <c r="O44" s="179">
        <f t="shared" si="639"/>
        <v>700000</v>
      </c>
      <c r="P44" s="180">
        <f>$F$44</f>
        <v>70000</v>
      </c>
      <c r="Q44" s="177">
        <f t="shared" ref="Q44:AA44" si="641">$F$44</f>
        <v>70000</v>
      </c>
      <c r="R44" s="177">
        <f t="shared" si="641"/>
        <v>70000</v>
      </c>
      <c r="S44" s="177">
        <f t="shared" si="641"/>
        <v>70000</v>
      </c>
      <c r="T44" s="177">
        <f t="shared" si="641"/>
        <v>70000</v>
      </c>
      <c r="U44" s="177">
        <f t="shared" si="641"/>
        <v>70000</v>
      </c>
      <c r="V44" s="177">
        <f t="shared" si="641"/>
        <v>70000</v>
      </c>
      <c r="W44" s="177">
        <f t="shared" si="641"/>
        <v>70000</v>
      </c>
      <c r="X44" s="177">
        <f t="shared" si="641"/>
        <v>70000</v>
      </c>
      <c r="Y44" s="177">
        <f t="shared" si="641"/>
        <v>70000</v>
      </c>
      <c r="Z44" s="177">
        <f t="shared" si="641"/>
        <v>70000</v>
      </c>
      <c r="AA44" s="178">
        <f t="shared" si="641"/>
        <v>70000</v>
      </c>
      <c r="AB44" s="179">
        <f t="shared" si="221"/>
        <v>840000</v>
      </c>
      <c r="AC44" s="180">
        <f>$F$44</f>
        <v>70000</v>
      </c>
      <c r="AD44" s="177">
        <f t="shared" ref="AD44:AN44" si="642">$F$44</f>
        <v>70000</v>
      </c>
      <c r="AE44" s="177">
        <f t="shared" si="642"/>
        <v>70000</v>
      </c>
      <c r="AF44" s="177">
        <f t="shared" si="642"/>
        <v>70000</v>
      </c>
      <c r="AG44" s="177">
        <f t="shared" si="642"/>
        <v>70000</v>
      </c>
      <c r="AH44" s="177">
        <f t="shared" si="642"/>
        <v>70000</v>
      </c>
      <c r="AI44" s="177">
        <f t="shared" si="642"/>
        <v>70000</v>
      </c>
      <c r="AJ44" s="177">
        <f t="shared" si="642"/>
        <v>70000</v>
      </c>
      <c r="AK44" s="177">
        <f t="shared" si="642"/>
        <v>70000</v>
      </c>
      <c r="AL44" s="177">
        <f t="shared" si="642"/>
        <v>70000</v>
      </c>
      <c r="AM44" s="177">
        <f t="shared" si="642"/>
        <v>70000</v>
      </c>
      <c r="AN44" s="178">
        <f t="shared" si="642"/>
        <v>70000</v>
      </c>
      <c r="AO44" s="179">
        <f t="shared" si="454"/>
        <v>840000</v>
      </c>
      <c r="AP44" s="180">
        <f>$F$44</f>
        <v>70000</v>
      </c>
      <c r="AQ44" s="177">
        <f t="shared" ref="AQ44:BA44" si="643">$F$44</f>
        <v>70000</v>
      </c>
      <c r="AR44" s="177">
        <f t="shared" si="643"/>
        <v>70000</v>
      </c>
      <c r="AS44" s="177">
        <f t="shared" si="643"/>
        <v>70000</v>
      </c>
      <c r="AT44" s="177">
        <f t="shared" si="643"/>
        <v>70000</v>
      </c>
      <c r="AU44" s="177">
        <f t="shared" si="643"/>
        <v>70000</v>
      </c>
      <c r="AV44" s="177">
        <f t="shared" si="643"/>
        <v>70000</v>
      </c>
      <c r="AW44" s="177">
        <f t="shared" si="643"/>
        <v>70000</v>
      </c>
      <c r="AX44" s="177">
        <f t="shared" si="643"/>
        <v>70000</v>
      </c>
      <c r="AY44" s="177">
        <f t="shared" si="643"/>
        <v>70000</v>
      </c>
      <c r="AZ44" s="177">
        <f t="shared" si="643"/>
        <v>70000</v>
      </c>
      <c r="BA44" s="178">
        <f t="shared" si="643"/>
        <v>70000</v>
      </c>
      <c r="BB44" s="179">
        <f t="shared" si="455"/>
        <v>840000</v>
      </c>
      <c r="BC44" s="180">
        <f>$F$44</f>
        <v>70000</v>
      </c>
      <c r="BD44" s="177">
        <f t="shared" ref="BD44:BN44" si="644">$F$44</f>
        <v>70000</v>
      </c>
      <c r="BE44" s="177">
        <f t="shared" si="644"/>
        <v>70000</v>
      </c>
      <c r="BF44" s="177">
        <f t="shared" si="644"/>
        <v>70000</v>
      </c>
      <c r="BG44" s="177">
        <f t="shared" si="644"/>
        <v>70000</v>
      </c>
      <c r="BH44" s="177">
        <f t="shared" si="644"/>
        <v>70000</v>
      </c>
      <c r="BI44" s="177">
        <f t="shared" si="644"/>
        <v>70000</v>
      </c>
      <c r="BJ44" s="177">
        <f t="shared" si="644"/>
        <v>70000</v>
      </c>
      <c r="BK44" s="177">
        <f t="shared" si="644"/>
        <v>70000</v>
      </c>
      <c r="BL44" s="177">
        <f t="shared" si="644"/>
        <v>70000</v>
      </c>
      <c r="BM44" s="177">
        <f t="shared" si="644"/>
        <v>70000</v>
      </c>
      <c r="BN44" s="178">
        <f t="shared" si="644"/>
        <v>70000</v>
      </c>
      <c r="BO44" s="179">
        <f t="shared" si="456"/>
        <v>840000</v>
      </c>
      <c r="BP44" s="180">
        <f>$F$44</f>
        <v>70000</v>
      </c>
      <c r="BQ44" s="177">
        <f t="shared" ref="BQ44:CA44" si="645">$F$44</f>
        <v>70000</v>
      </c>
      <c r="BR44" s="177">
        <f t="shared" si="645"/>
        <v>70000</v>
      </c>
      <c r="BS44" s="177">
        <f t="shared" si="645"/>
        <v>70000</v>
      </c>
      <c r="BT44" s="177">
        <f t="shared" si="645"/>
        <v>70000</v>
      </c>
      <c r="BU44" s="177">
        <f t="shared" si="645"/>
        <v>70000</v>
      </c>
      <c r="BV44" s="177">
        <f t="shared" si="645"/>
        <v>70000</v>
      </c>
      <c r="BW44" s="177">
        <f t="shared" si="645"/>
        <v>70000</v>
      </c>
      <c r="BX44" s="177">
        <f t="shared" si="645"/>
        <v>70000</v>
      </c>
      <c r="BY44" s="177">
        <f t="shared" si="645"/>
        <v>70000</v>
      </c>
      <c r="BZ44" s="177">
        <f t="shared" si="645"/>
        <v>70000</v>
      </c>
      <c r="CA44" s="178">
        <f t="shared" si="645"/>
        <v>70000</v>
      </c>
      <c r="CB44" s="179">
        <f t="shared" si="457"/>
        <v>840000</v>
      </c>
      <c r="CC44" s="180">
        <f>$F$44</f>
        <v>70000</v>
      </c>
      <c r="CD44" s="177">
        <f t="shared" ref="CD44:CN44" si="646">$F$44</f>
        <v>70000</v>
      </c>
      <c r="CE44" s="177">
        <f t="shared" si="646"/>
        <v>70000</v>
      </c>
      <c r="CF44" s="177">
        <f t="shared" si="646"/>
        <v>70000</v>
      </c>
      <c r="CG44" s="177">
        <f t="shared" si="646"/>
        <v>70000</v>
      </c>
      <c r="CH44" s="177">
        <f t="shared" si="646"/>
        <v>70000</v>
      </c>
      <c r="CI44" s="177">
        <f t="shared" si="646"/>
        <v>70000</v>
      </c>
      <c r="CJ44" s="177">
        <f t="shared" si="646"/>
        <v>70000</v>
      </c>
      <c r="CK44" s="177">
        <f t="shared" si="646"/>
        <v>70000</v>
      </c>
      <c r="CL44" s="177">
        <f t="shared" si="646"/>
        <v>70000</v>
      </c>
      <c r="CM44" s="177">
        <f t="shared" si="646"/>
        <v>70000</v>
      </c>
      <c r="CN44" s="178">
        <f t="shared" si="646"/>
        <v>70000</v>
      </c>
      <c r="CO44" s="179">
        <f t="shared" si="458"/>
        <v>840000</v>
      </c>
      <c r="CP44" s="180">
        <f>$F$44</f>
        <v>70000</v>
      </c>
      <c r="CQ44" s="177">
        <f t="shared" ref="CQ44:DA44" si="647">$F$44</f>
        <v>70000</v>
      </c>
      <c r="CR44" s="177">
        <f t="shared" si="647"/>
        <v>70000</v>
      </c>
      <c r="CS44" s="177">
        <f t="shared" si="647"/>
        <v>70000</v>
      </c>
      <c r="CT44" s="177">
        <f t="shared" si="647"/>
        <v>70000</v>
      </c>
      <c r="CU44" s="177">
        <f t="shared" si="647"/>
        <v>70000</v>
      </c>
      <c r="CV44" s="177">
        <f t="shared" si="647"/>
        <v>70000</v>
      </c>
      <c r="CW44" s="177">
        <f t="shared" si="647"/>
        <v>70000</v>
      </c>
      <c r="CX44" s="177">
        <f t="shared" si="647"/>
        <v>70000</v>
      </c>
      <c r="CY44" s="177">
        <f t="shared" si="647"/>
        <v>70000</v>
      </c>
      <c r="CZ44" s="177">
        <f t="shared" si="647"/>
        <v>70000</v>
      </c>
      <c r="DA44" s="178">
        <f t="shared" si="647"/>
        <v>70000</v>
      </c>
      <c r="DB44" s="179">
        <f t="shared" si="459"/>
        <v>840000</v>
      </c>
      <c r="DC44" s="180">
        <f>$F$44</f>
        <v>70000</v>
      </c>
      <c r="DD44" s="177">
        <f t="shared" ref="DD44:DN44" si="648">$F$44</f>
        <v>70000</v>
      </c>
      <c r="DE44" s="177">
        <f t="shared" si="648"/>
        <v>70000</v>
      </c>
      <c r="DF44" s="177">
        <f t="shared" si="648"/>
        <v>70000</v>
      </c>
      <c r="DG44" s="177">
        <f t="shared" si="648"/>
        <v>70000</v>
      </c>
      <c r="DH44" s="177">
        <f t="shared" si="648"/>
        <v>70000</v>
      </c>
      <c r="DI44" s="177">
        <f t="shared" si="648"/>
        <v>70000</v>
      </c>
      <c r="DJ44" s="177">
        <f t="shared" si="648"/>
        <v>70000</v>
      </c>
      <c r="DK44" s="177">
        <f t="shared" si="648"/>
        <v>70000</v>
      </c>
      <c r="DL44" s="177">
        <f t="shared" si="648"/>
        <v>70000</v>
      </c>
      <c r="DM44" s="177">
        <f t="shared" si="648"/>
        <v>70000</v>
      </c>
      <c r="DN44" s="178">
        <f t="shared" si="648"/>
        <v>70000</v>
      </c>
      <c r="DO44" s="179">
        <f t="shared" si="460"/>
        <v>840000</v>
      </c>
      <c r="DP44" s="180">
        <f>$F$44</f>
        <v>70000</v>
      </c>
      <c r="DQ44" s="177">
        <f t="shared" ref="DQ44:EA44" si="649">$F$44</f>
        <v>70000</v>
      </c>
      <c r="DR44" s="177">
        <f t="shared" si="649"/>
        <v>70000</v>
      </c>
      <c r="DS44" s="177">
        <f t="shared" si="649"/>
        <v>70000</v>
      </c>
      <c r="DT44" s="177">
        <f t="shared" si="649"/>
        <v>70000</v>
      </c>
      <c r="DU44" s="177">
        <f t="shared" si="649"/>
        <v>70000</v>
      </c>
      <c r="DV44" s="177">
        <f t="shared" si="649"/>
        <v>70000</v>
      </c>
      <c r="DW44" s="177">
        <f t="shared" si="649"/>
        <v>70000</v>
      </c>
      <c r="DX44" s="177">
        <f t="shared" si="649"/>
        <v>70000</v>
      </c>
      <c r="DY44" s="177">
        <f t="shared" si="649"/>
        <v>70000</v>
      </c>
      <c r="DZ44" s="177">
        <f t="shared" si="649"/>
        <v>70000</v>
      </c>
      <c r="EA44" s="178">
        <f t="shared" si="649"/>
        <v>70000</v>
      </c>
      <c r="EB44" s="181">
        <f t="shared" si="461"/>
        <v>840000</v>
      </c>
    </row>
    <row r="45" spans="1:132" s="7" customFormat="1" ht="24" customHeight="1">
      <c r="A45" s="193"/>
      <c r="B45" s="197" t="s">
        <v>309</v>
      </c>
      <c r="C45" s="2"/>
      <c r="D45" s="2"/>
      <c r="E45" s="177">
        <v>64000</v>
      </c>
      <c r="F45" s="177">
        <f>$E$45</f>
        <v>64000</v>
      </c>
      <c r="G45" s="177">
        <f>$F$45</f>
        <v>64000</v>
      </c>
      <c r="H45" s="177">
        <f t="shared" ref="H45:N45" si="650">$F$45</f>
        <v>64000</v>
      </c>
      <c r="I45" s="177">
        <f t="shared" si="650"/>
        <v>64000</v>
      </c>
      <c r="J45" s="177">
        <f t="shared" si="650"/>
        <v>64000</v>
      </c>
      <c r="K45" s="177">
        <f t="shared" si="650"/>
        <v>64000</v>
      </c>
      <c r="L45" s="177">
        <f t="shared" si="650"/>
        <v>64000</v>
      </c>
      <c r="M45" s="177">
        <f t="shared" si="650"/>
        <v>64000</v>
      </c>
      <c r="N45" s="178">
        <f t="shared" si="650"/>
        <v>64000</v>
      </c>
      <c r="O45" s="179">
        <f t="shared" si="639"/>
        <v>640000</v>
      </c>
      <c r="P45" s="180">
        <f>$F$45</f>
        <v>64000</v>
      </c>
      <c r="Q45" s="180">
        <f t="shared" ref="Q45:AA45" si="651">$F$45</f>
        <v>64000</v>
      </c>
      <c r="R45" s="180">
        <f t="shared" si="651"/>
        <v>64000</v>
      </c>
      <c r="S45" s="180">
        <f t="shared" si="651"/>
        <v>64000</v>
      </c>
      <c r="T45" s="180">
        <f t="shared" si="651"/>
        <v>64000</v>
      </c>
      <c r="U45" s="180">
        <f t="shared" si="651"/>
        <v>64000</v>
      </c>
      <c r="V45" s="180">
        <f t="shared" si="651"/>
        <v>64000</v>
      </c>
      <c r="W45" s="180">
        <f t="shared" si="651"/>
        <v>64000</v>
      </c>
      <c r="X45" s="180">
        <f t="shared" si="651"/>
        <v>64000</v>
      </c>
      <c r="Y45" s="180">
        <f t="shared" si="651"/>
        <v>64000</v>
      </c>
      <c r="Z45" s="180">
        <f t="shared" si="651"/>
        <v>64000</v>
      </c>
      <c r="AA45" s="203">
        <f t="shared" si="651"/>
        <v>64000</v>
      </c>
      <c r="AB45" s="179">
        <f t="shared" si="221"/>
        <v>768000</v>
      </c>
      <c r="AC45" s="180">
        <f>$F$45</f>
        <v>64000</v>
      </c>
      <c r="AD45" s="180">
        <f t="shared" ref="AD45:AN45" si="652">$F$45</f>
        <v>64000</v>
      </c>
      <c r="AE45" s="180">
        <f t="shared" si="652"/>
        <v>64000</v>
      </c>
      <c r="AF45" s="180">
        <f t="shared" si="652"/>
        <v>64000</v>
      </c>
      <c r="AG45" s="180">
        <f t="shared" si="652"/>
        <v>64000</v>
      </c>
      <c r="AH45" s="180">
        <f t="shared" si="652"/>
        <v>64000</v>
      </c>
      <c r="AI45" s="180">
        <f t="shared" si="652"/>
        <v>64000</v>
      </c>
      <c r="AJ45" s="180">
        <f t="shared" si="652"/>
        <v>64000</v>
      </c>
      <c r="AK45" s="180">
        <f t="shared" si="652"/>
        <v>64000</v>
      </c>
      <c r="AL45" s="180">
        <f t="shared" si="652"/>
        <v>64000</v>
      </c>
      <c r="AM45" s="180">
        <f t="shared" si="652"/>
        <v>64000</v>
      </c>
      <c r="AN45" s="203">
        <f t="shared" si="652"/>
        <v>64000</v>
      </c>
      <c r="AO45" s="179">
        <f t="shared" si="454"/>
        <v>768000</v>
      </c>
      <c r="AP45" s="180">
        <f>$F$45</f>
        <v>64000</v>
      </c>
      <c r="AQ45" s="180">
        <f t="shared" ref="AQ45:BA45" si="653">$F$45</f>
        <v>64000</v>
      </c>
      <c r="AR45" s="180">
        <f t="shared" si="653"/>
        <v>64000</v>
      </c>
      <c r="AS45" s="180">
        <f t="shared" si="653"/>
        <v>64000</v>
      </c>
      <c r="AT45" s="180">
        <f t="shared" si="653"/>
        <v>64000</v>
      </c>
      <c r="AU45" s="180">
        <f t="shared" si="653"/>
        <v>64000</v>
      </c>
      <c r="AV45" s="180">
        <f t="shared" si="653"/>
        <v>64000</v>
      </c>
      <c r="AW45" s="180">
        <f t="shared" si="653"/>
        <v>64000</v>
      </c>
      <c r="AX45" s="180">
        <f t="shared" si="653"/>
        <v>64000</v>
      </c>
      <c r="AY45" s="180">
        <f t="shared" si="653"/>
        <v>64000</v>
      </c>
      <c r="AZ45" s="180">
        <f t="shared" si="653"/>
        <v>64000</v>
      </c>
      <c r="BA45" s="203">
        <f t="shared" si="653"/>
        <v>64000</v>
      </c>
      <c r="BB45" s="179">
        <f t="shared" si="455"/>
        <v>768000</v>
      </c>
      <c r="BC45" s="180">
        <f>$F$45</f>
        <v>64000</v>
      </c>
      <c r="BD45" s="180">
        <f t="shared" ref="BD45:BN45" si="654">$F$45</f>
        <v>64000</v>
      </c>
      <c r="BE45" s="180">
        <f t="shared" si="654"/>
        <v>64000</v>
      </c>
      <c r="BF45" s="180">
        <f t="shared" si="654"/>
        <v>64000</v>
      </c>
      <c r="BG45" s="180">
        <f t="shared" si="654"/>
        <v>64000</v>
      </c>
      <c r="BH45" s="180">
        <f t="shared" si="654"/>
        <v>64000</v>
      </c>
      <c r="BI45" s="180">
        <f t="shared" si="654"/>
        <v>64000</v>
      </c>
      <c r="BJ45" s="180">
        <f t="shared" si="654"/>
        <v>64000</v>
      </c>
      <c r="BK45" s="180">
        <f t="shared" si="654"/>
        <v>64000</v>
      </c>
      <c r="BL45" s="180">
        <f t="shared" si="654"/>
        <v>64000</v>
      </c>
      <c r="BM45" s="180">
        <f t="shared" si="654"/>
        <v>64000</v>
      </c>
      <c r="BN45" s="203">
        <f t="shared" si="654"/>
        <v>64000</v>
      </c>
      <c r="BO45" s="179">
        <f t="shared" si="456"/>
        <v>768000</v>
      </c>
      <c r="BP45" s="180">
        <f>$F$45</f>
        <v>64000</v>
      </c>
      <c r="BQ45" s="180">
        <f t="shared" ref="BQ45:CA45" si="655">$F$45</f>
        <v>64000</v>
      </c>
      <c r="BR45" s="180">
        <f t="shared" si="655"/>
        <v>64000</v>
      </c>
      <c r="BS45" s="180">
        <f t="shared" si="655"/>
        <v>64000</v>
      </c>
      <c r="BT45" s="180">
        <f t="shared" si="655"/>
        <v>64000</v>
      </c>
      <c r="BU45" s="180">
        <f t="shared" si="655"/>
        <v>64000</v>
      </c>
      <c r="BV45" s="180">
        <f t="shared" si="655"/>
        <v>64000</v>
      </c>
      <c r="BW45" s="180">
        <f t="shared" si="655"/>
        <v>64000</v>
      </c>
      <c r="BX45" s="180">
        <f t="shared" si="655"/>
        <v>64000</v>
      </c>
      <c r="BY45" s="180">
        <f t="shared" si="655"/>
        <v>64000</v>
      </c>
      <c r="BZ45" s="180">
        <f t="shared" si="655"/>
        <v>64000</v>
      </c>
      <c r="CA45" s="203">
        <f t="shared" si="655"/>
        <v>64000</v>
      </c>
      <c r="CB45" s="179">
        <f t="shared" si="457"/>
        <v>768000</v>
      </c>
      <c r="CC45" s="180">
        <f>$F$45</f>
        <v>64000</v>
      </c>
      <c r="CD45" s="180">
        <f t="shared" ref="CD45:CN45" si="656">$F$45</f>
        <v>64000</v>
      </c>
      <c r="CE45" s="180">
        <f t="shared" si="656"/>
        <v>64000</v>
      </c>
      <c r="CF45" s="180">
        <f t="shared" si="656"/>
        <v>64000</v>
      </c>
      <c r="CG45" s="180">
        <f t="shared" si="656"/>
        <v>64000</v>
      </c>
      <c r="CH45" s="180">
        <f t="shared" si="656"/>
        <v>64000</v>
      </c>
      <c r="CI45" s="180">
        <f t="shared" si="656"/>
        <v>64000</v>
      </c>
      <c r="CJ45" s="180">
        <f t="shared" si="656"/>
        <v>64000</v>
      </c>
      <c r="CK45" s="180">
        <f t="shared" si="656"/>
        <v>64000</v>
      </c>
      <c r="CL45" s="180">
        <f t="shared" si="656"/>
        <v>64000</v>
      </c>
      <c r="CM45" s="180">
        <f t="shared" si="656"/>
        <v>64000</v>
      </c>
      <c r="CN45" s="203">
        <f t="shared" si="656"/>
        <v>64000</v>
      </c>
      <c r="CO45" s="179">
        <f t="shared" si="458"/>
        <v>768000</v>
      </c>
      <c r="CP45" s="180">
        <f>$F$45</f>
        <v>64000</v>
      </c>
      <c r="CQ45" s="180">
        <f t="shared" ref="CQ45:DA45" si="657">$F$45</f>
        <v>64000</v>
      </c>
      <c r="CR45" s="180">
        <f t="shared" si="657"/>
        <v>64000</v>
      </c>
      <c r="CS45" s="180">
        <f t="shared" si="657"/>
        <v>64000</v>
      </c>
      <c r="CT45" s="180">
        <f t="shared" si="657"/>
        <v>64000</v>
      </c>
      <c r="CU45" s="180">
        <f t="shared" si="657"/>
        <v>64000</v>
      </c>
      <c r="CV45" s="180">
        <f t="shared" si="657"/>
        <v>64000</v>
      </c>
      <c r="CW45" s="180">
        <f t="shared" si="657"/>
        <v>64000</v>
      </c>
      <c r="CX45" s="180">
        <f t="shared" si="657"/>
        <v>64000</v>
      </c>
      <c r="CY45" s="180">
        <f t="shared" si="657"/>
        <v>64000</v>
      </c>
      <c r="CZ45" s="180">
        <f t="shared" si="657"/>
        <v>64000</v>
      </c>
      <c r="DA45" s="203">
        <f t="shared" si="657"/>
        <v>64000</v>
      </c>
      <c r="DB45" s="179">
        <f t="shared" si="459"/>
        <v>768000</v>
      </c>
      <c r="DC45" s="180">
        <f>$F$45</f>
        <v>64000</v>
      </c>
      <c r="DD45" s="180">
        <f t="shared" ref="DD45:DN45" si="658">$F$45</f>
        <v>64000</v>
      </c>
      <c r="DE45" s="180">
        <f t="shared" si="658"/>
        <v>64000</v>
      </c>
      <c r="DF45" s="180">
        <f t="shared" si="658"/>
        <v>64000</v>
      </c>
      <c r="DG45" s="180">
        <f t="shared" si="658"/>
        <v>64000</v>
      </c>
      <c r="DH45" s="180">
        <f t="shared" si="658"/>
        <v>64000</v>
      </c>
      <c r="DI45" s="180">
        <f t="shared" si="658"/>
        <v>64000</v>
      </c>
      <c r="DJ45" s="180">
        <f t="shared" si="658"/>
        <v>64000</v>
      </c>
      <c r="DK45" s="180">
        <f t="shared" si="658"/>
        <v>64000</v>
      </c>
      <c r="DL45" s="180">
        <f t="shared" si="658"/>
        <v>64000</v>
      </c>
      <c r="DM45" s="180">
        <f t="shared" si="658"/>
        <v>64000</v>
      </c>
      <c r="DN45" s="203">
        <f t="shared" si="658"/>
        <v>64000</v>
      </c>
      <c r="DO45" s="179">
        <f t="shared" si="460"/>
        <v>768000</v>
      </c>
      <c r="DP45" s="180">
        <f>$F$45</f>
        <v>64000</v>
      </c>
      <c r="DQ45" s="180">
        <f t="shared" ref="DQ45:EA45" si="659">$F$45</f>
        <v>64000</v>
      </c>
      <c r="DR45" s="180">
        <f t="shared" si="659"/>
        <v>64000</v>
      </c>
      <c r="DS45" s="180">
        <f t="shared" si="659"/>
        <v>64000</v>
      </c>
      <c r="DT45" s="180">
        <f t="shared" si="659"/>
        <v>64000</v>
      </c>
      <c r="DU45" s="180">
        <f t="shared" si="659"/>
        <v>64000</v>
      </c>
      <c r="DV45" s="180">
        <f t="shared" si="659"/>
        <v>64000</v>
      </c>
      <c r="DW45" s="180">
        <f t="shared" si="659"/>
        <v>64000</v>
      </c>
      <c r="DX45" s="180">
        <f t="shared" si="659"/>
        <v>64000</v>
      </c>
      <c r="DY45" s="180">
        <f t="shared" si="659"/>
        <v>64000</v>
      </c>
      <c r="DZ45" s="180">
        <f t="shared" si="659"/>
        <v>64000</v>
      </c>
      <c r="EA45" s="203">
        <f t="shared" si="659"/>
        <v>64000</v>
      </c>
      <c r="EB45" s="181">
        <f t="shared" si="461"/>
        <v>768000</v>
      </c>
    </row>
    <row r="46" spans="1:132" s="7" customFormat="1" ht="24" customHeight="1">
      <c r="A46" s="193"/>
      <c r="B46" s="197" t="s">
        <v>310</v>
      </c>
      <c r="C46" s="2"/>
      <c r="D46" s="2"/>
      <c r="E46" s="177">
        <v>6300</v>
      </c>
      <c r="F46" s="177">
        <f>$E$46</f>
        <v>6300</v>
      </c>
      <c r="G46" s="177">
        <f t="shared" ref="G46:N46" si="660">$E$46</f>
        <v>6300</v>
      </c>
      <c r="H46" s="177">
        <f t="shared" si="660"/>
        <v>6300</v>
      </c>
      <c r="I46" s="177">
        <f t="shared" si="660"/>
        <v>6300</v>
      </c>
      <c r="J46" s="177">
        <f t="shared" si="660"/>
        <v>6300</v>
      </c>
      <c r="K46" s="177">
        <f t="shared" si="660"/>
        <v>6300</v>
      </c>
      <c r="L46" s="177">
        <f t="shared" si="660"/>
        <v>6300</v>
      </c>
      <c r="M46" s="177">
        <f t="shared" si="660"/>
        <v>6300</v>
      </c>
      <c r="N46" s="177">
        <f t="shared" si="660"/>
        <v>6300</v>
      </c>
      <c r="O46" s="179">
        <f t="shared" si="639"/>
        <v>63000</v>
      </c>
      <c r="P46" s="177">
        <f>$E$46</f>
        <v>6300</v>
      </c>
      <c r="Q46" s="177">
        <f>$E$46</f>
        <v>6300</v>
      </c>
      <c r="R46" s="177">
        <f t="shared" ref="R46:AA46" si="661">$E$46</f>
        <v>6300</v>
      </c>
      <c r="S46" s="177">
        <f t="shared" si="661"/>
        <v>6300</v>
      </c>
      <c r="T46" s="177">
        <f t="shared" si="661"/>
        <v>6300</v>
      </c>
      <c r="U46" s="177">
        <f t="shared" si="661"/>
        <v>6300</v>
      </c>
      <c r="V46" s="177">
        <f t="shared" si="661"/>
        <v>6300</v>
      </c>
      <c r="W46" s="177">
        <f t="shared" si="661"/>
        <v>6300</v>
      </c>
      <c r="X46" s="177">
        <f t="shared" si="661"/>
        <v>6300</v>
      </c>
      <c r="Y46" s="177">
        <f t="shared" si="661"/>
        <v>6300</v>
      </c>
      <c r="Z46" s="177">
        <f t="shared" si="661"/>
        <v>6300</v>
      </c>
      <c r="AA46" s="177">
        <f t="shared" si="661"/>
        <v>6300</v>
      </c>
      <c r="AB46" s="179">
        <f t="shared" si="221"/>
        <v>75600</v>
      </c>
      <c r="AC46" s="177">
        <f>$E$46</f>
        <v>6300</v>
      </c>
      <c r="AD46" s="177">
        <f>$E$46</f>
        <v>6300</v>
      </c>
      <c r="AE46" s="177">
        <f t="shared" ref="AE46:AN46" si="662">$E$46</f>
        <v>6300</v>
      </c>
      <c r="AF46" s="177">
        <f t="shared" si="662"/>
        <v>6300</v>
      </c>
      <c r="AG46" s="177">
        <f t="shared" si="662"/>
        <v>6300</v>
      </c>
      <c r="AH46" s="177">
        <f t="shared" si="662"/>
        <v>6300</v>
      </c>
      <c r="AI46" s="177">
        <f t="shared" si="662"/>
        <v>6300</v>
      </c>
      <c r="AJ46" s="177">
        <f t="shared" si="662"/>
        <v>6300</v>
      </c>
      <c r="AK46" s="177">
        <f t="shared" si="662"/>
        <v>6300</v>
      </c>
      <c r="AL46" s="177">
        <f t="shared" si="662"/>
        <v>6300</v>
      </c>
      <c r="AM46" s="177">
        <f t="shared" si="662"/>
        <v>6300</v>
      </c>
      <c r="AN46" s="177">
        <f t="shared" si="662"/>
        <v>6300</v>
      </c>
      <c r="AO46" s="179">
        <f t="shared" ref="AO46:AO47" si="663">SUM(AC46:AN46)</f>
        <v>75600</v>
      </c>
      <c r="AP46" s="177">
        <f>$E$46</f>
        <v>6300</v>
      </c>
      <c r="AQ46" s="177">
        <f>$E$46</f>
        <v>6300</v>
      </c>
      <c r="AR46" s="177">
        <f t="shared" ref="AR46:BA46" si="664">$E$46</f>
        <v>6300</v>
      </c>
      <c r="AS46" s="177">
        <f t="shared" si="664"/>
        <v>6300</v>
      </c>
      <c r="AT46" s="177">
        <f t="shared" si="664"/>
        <v>6300</v>
      </c>
      <c r="AU46" s="177">
        <f t="shared" si="664"/>
        <v>6300</v>
      </c>
      <c r="AV46" s="177">
        <f t="shared" si="664"/>
        <v>6300</v>
      </c>
      <c r="AW46" s="177">
        <f t="shared" si="664"/>
        <v>6300</v>
      </c>
      <c r="AX46" s="177">
        <f t="shared" si="664"/>
        <v>6300</v>
      </c>
      <c r="AY46" s="177">
        <f t="shared" si="664"/>
        <v>6300</v>
      </c>
      <c r="AZ46" s="177">
        <f t="shared" si="664"/>
        <v>6300</v>
      </c>
      <c r="BA46" s="177">
        <f t="shared" si="664"/>
        <v>6300</v>
      </c>
      <c r="BB46" s="179">
        <f t="shared" ref="BB46:BB47" si="665">SUM(AP46:BA46)</f>
        <v>75600</v>
      </c>
      <c r="BC46" s="177">
        <f>$E$46</f>
        <v>6300</v>
      </c>
      <c r="BD46" s="177">
        <f>$E$46</f>
        <v>6300</v>
      </c>
      <c r="BE46" s="177">
        <f t="shared" ref="BE46:BN46" si="666">$E$46</f>
        <v>6300</v>
      </c>
      <c r="BF46" s="177">
        <f t="shared" si="666"/>
        <v>6300</v>
      </c>
      <c r="BG46" s="177">
        <f t="shared" si="666"/>
        <v>6300</v>
      </c>
      <c r="BH46" s="177">
        <f t="shared" si="666"/>
        <v>6300</v>
      </c>
      <c r="BI46" s="177">
        <f t="shared" si="666"/>
        <v>6300</v>
      </c>
      <c r="BJ46" s="177">
        <f t="shared" si="666"/>
        <v>6300</v>
      </c>
      <c r="BK46" s="177">
        <f t="shared" si="666"/>
        <v>6300</v>
      </c>
      <c r="BL46" s="177">
        <f t="shared" si="666"/>
        <v>6300</v>
      </c>
      <c r="BM46" s="177">
        <f t="shared" si="666"/>
        <v>6300</v>
      </c>
      <c r="BN46" s="177">
        <f t="shared" si="666"/>
        <v>6300</v>
      </c>
      <c r="BO46" s="179">
        <f t="shared" ref="BO46:BO47" si="667">SUM(BC46:BN46)</f>
        <v>75600</v>
      </c>
      <c r="BP46" s="177">
        <f>$E$46</f>
        <v>6300</v>
      </c>
      <c r="BQ46" s="177">
        <f>$E$46</f>
        <v>6300</v>
      </c>
      <c r="BR46" s="177">
        <f t="shared" ref="BR46:CA46" si="668">$E$46</f>
        <v>6300</v>
      </c>
      <c r="BS46" s="177">
        <f t="shared" si="668"/>
        <v>6300</v>
      </c>
      <c r="BT46" s="177">
        <f t="shared" si="668"/>
        <v>6300</v>
      </c>
      <c r="BU46" s="177">
        <f t="shared" si="668"/>
        <v>6300</v>
      </c>
      <c r="BV46" s="177">
        <f t="shared" si="668"/>
        <v>6300</v>
      </c>
      <c r="BW46" s="177">
        <f t="shared" si="668"/>
        <v>6300</v>
      </c>
      <c r="BX46" s="177">
        <f t="shared" si="668"/>
        <v>6300</v>
      </c>
      <c r="BY46" s="177">
        <f t="shared" si="668"/>
        <v>6300</v>
      </c>
      <c r="BZ46" s="177">
        <f t="shared" si="668"/>
        <v>6300</v>
      </c>
      <c r="CA46" s="177">
        <f t="shared" si="668"/>
        <v>6300</v>
      </c>
      <c r="CB46" s="179">
        <f t="shared" ref="CB46:CB47" si="669">SUM(BP46:CA46)</f>
        <v>75600</v>
      </c>
      <c r="CC46" s="177">
        <f>$E$46</f>
        <v>6300</v>
      </c>
      <c r="CD46" s="177">
        <f>$E$46</f>
        <v>6300</v>
      </c>
      <c r="CE46" s="177">
        <f t="shared" ref="CE46:CN46" si="670">$E$46</f>
        <v>6300</v>
      </c>
      <c r="CF46" s="177">
        <f t="shared" si="670"/>
        <v>6300</v>
      </c>
      <c r="CG46" s="177">
        <f t="shared" si="670"/>
        <v>6300</v>
      </c>
      <c r="CH46" s="177">
        <f t="shared" si="670"/>
        <v>6300</v>
      </c>
      <c r="CI46" s="177">
        <f t="shared" si="670"/>
        <v>6300</v>
      </c>
      <c r="CJ46" s="177">
        <f t="shared" si="670"/>
        <v>6300</v>
      </c>
      <c r="CK46" s="177">
        <f t="shared" si="670"/>
        <v>6300</v>
      </c>
      <c r="CL46" s="177">
        <f t="shared" si="670"/>
        <v>6300</v>
      </c>
      <c r="CM46" s="177">
        <f t="shared" si="670"/>
        <v>6300</v>
      </c>
      <c r="CN46" s="177">
        <f t="shared" si="670"/>
        <v>6300</v>
      </c>
      <c r="CO46" s="179">
        <f t="shared" ref="CO46:CO47" si="671">SUM(CC46:CN46)</f>
        <v>75600</v>
      </c>
      <c r="CP46" s="177">
        <f>$E$46</f>
        <v>6300</v>
      </c>
      <c r="CQ46" s="177">
        <f>$E$46</f>
        <v>6300</v>
      </c>
      <c r="CR46" s="177">
        <f t="shared" ref="CR46:DA46" si="672">$E$46</f>
        <v>6300</v>
      </c>
      <c r="CS46" s="177">
        <f t="shared" si="672"/>
        <v>6300</v>
      </c>
      <c r="CT46" s="177">
        <f t="shared" si="672"/>
        <v>6300</v>
      </c>
      <c r="CU46" s="177">
        <f t="shared" si="672"/>
        <v>6300</v>
      </c>
      <c r="CV46" s="177">
        <f t="shared" si="672"/>
        <v>6300</v>
      </c>
      <c r="CW46" s="177">
        <f t="shared" si="672"/>
        <v>6300</v>
      </c>
      <c r="CX46" s="177">
        <f t="shared" si="672"/>
        <v>6300</v>
      </c>
      <c r="CY46" s="177">
        <f t="shared" si="672"/>
        <v>6300</v>
      </c>
      <c r="CZ46" s="177">
        <f t="shared" si="672"/>
        <v>6300</v>
      </c>
      <c r="DA46" s="177">
        <f t="shared" si="672"/>
        <v>6300</v>
      </c>
      <c r="DB46" s="179">
        <f t="shared" ref="DB46:DB47" si="673">SUM(CP46:DA46)</f>
        <v>75600</v>
      </c>
      <c r="DC46" s="177">
        <f>$E$46</f>
        <v>6300</v>
      </c>
      <c r="DD46" s="177">
        <f>$E$46</f>
        <v>6300</v>
      </c>
      <c r="DE46" s="177">
        <f t="shared" ref="DE46:DN46" si="674">$E$46</f>
        <v>6300</v>
      </c>
      <c r="DF46" s="177">
        <f t="shared" si="674"/>
        <v>6300</v>
      </c>
      <c r="DG46" s="177">
        <f t="shared" si="674"/>
        <v>6300</v>
      </c>
      <c r="DH46" s="177">
        <f t="shared" si="674"/>
        <v>6300</v>
      </c>
      <c r="DI46" s="177">
        <f t="shared" si="674"/>
        <v>6300</v>
      </c>
      <c r="DJ46" s="177">
        <f t="shared" si="674"/>
        <v>6300</v>
      </c>
      <c r="DK46" s="177">
        <f t="shared" si="674"/>
        <v>6300</v>
      </c>
      <c r="DL46" s="177">
        <f t="shared" si="674"/>
        <v>6300</v>
      </c>
      <c r="DM46" s="177">
        <f t="shared" si="674"/>
        <v>6300</v>
      </c>
      <c r="DN46" s="177">
        <f t="shared" si="674"/>
        <v>6300</v>
      </c>
      <c r="DO46" s="179">
        <f t="shared" ref="DO46:DO47" si="675">SUM(DC46:DN46)</f>
        <v>75600</v>
      </c>
      <c r="DP46" s="177">
        <f>$E$46</f>
        <v>6300</v>
      </c>
      <c r="DQ46" s="177">
        <f>$E$46</f>
        <v>6300</v>
      </c>
      <c r="DR46" s="177">
        <f t="shared" ref="DR46:EA46" si="676">$E$46</f>
        <v>6300</v>
      </c>
      <c r="DS46" s="177">
        <f t="shared" si="676"/>
        <v>6300</v>
      </c>
      <c r="DT46" s="177">
        <f t="shared" si="676"/>
        <v>6300</v>
      </c>
      <c r="DU46" s="177">
        <f t="shared" si="676"/>
        <v>6300</v>
      </c>
      <c r="DV46" s="177">
        <f t="shared" si="676"/>
        <v>6300</v>
      </c>
      <c r="DW46" s="177">
        <f t="shared" si="676"/>
        <v>6300</v>
      </c>
      <c r="DX46" s="177">
        <f t="shared" si="676"/>
        <v>6300</v>
      </c>
      <c r="DY46" s="177">
        <f t="shared" si="676"/>
        <v>6300</v>
      </c>
      <c r="DZ46" s="177">
        <f t="shared" si="676"/>
        <v>6300</v>
      </c>
      <c r="EA46" s="177">
        <f t="shared" si="676"/>
        <v>6300</v>
      </c>
      <c r="EB46" s="181">
        <f t="shared" ref="EB46:EB47" si="677">SUM(DP46:EA46)</f>
        <v>75600</v>
      </c>
    </row>
    <row r="47" spans="1:132" s="7" customFormat="1" ht="24" customHeight="1">
      <c r="A47" s="193"/>
      <c r="B47" s="197" t="s">
        <v>311</v>
      </c>
      <c r="C47" s="2"/>
      <c r="D47" s="2"/>
      <c r="E47" s="177">
        <v>5980</v>
      </c>
      <c r="F47" s="177">
        <f>$E$47</f>
        <v>5980</v>
      </c>
      <c r="G47" s="177">
        <f t="shared" ref="G47:N47" si="678">$E$47</f>
        <v>5980</v>
      </c>
      <c r="H47" s="177">
        <f t="shared" si="678"/>
        <v>5980</v>
      </c>
      <c r="I47" s="177">
        <f t="shared" si="678"/>
        <v>5980</v>
      </c>
      <c r="J47" s="177">
        <f t="shared" si="678"/>
        <v>5980</v>
      </c>
      <c r="K47" s="177">
        <f t="shared" si="678"/>
        <v>5980</v>
      </c>
      <c r="L47" s="177">
        <f t="shared" si="678"/>
        <v>5980</v>
      </c>
      <c r="M47" s="177">
        <f t="shared" si="678"/>
        <v>5980</v>
      </c>
      <c r="N47" s="177">
        <f t="shared" si="678"/>
        <v>5980</v>
      </c>
      <c r="O47" s="179">
        <f t="shared" si="639"/>
        <v>59800</v>
      </c>
      <c r="P47" s="177">
        <f>$E$47</f>
        <v>5980</v>
      </c>
      <c r="Q47" s="177">
        <f t="shared" ref="Q47:AA47" si="679">$E$47</f>
        <v>5980</v>
      </c>
      <c r="R47" s="177">
        <f t="shared" si="679"/>
        <v>5980</v>
      </c>
      <c r="S47" s="177">
        <f t="shared" si="679"/>
        <v>5980</v>
      </c>
      <c r="T47" s="177">
        <f t="shared" si="679"/>
        <v>5980</v>
      </c>
      <c r="U47" s="177">
        <f t="shared" si="679"/>
        <v>5980</v>
      </c>
      <c r="V47" s="177">
        <f t="shared" si="679"/>
        <v>5980</v>
      </c>
      <c r="W47" s="177">
        <f t="shared" si="679"/>
        <v>5980</v>
      </c>
      <c r="X47" s="177">
        <f t="shared" si="679"/>
        <v>5980</v>
      </c>
      <c r="Y47" s="177">
        <f t="shared" si="679"/>
        <v>5980</v>
      </c>
      <c r="Z47" s="177">
        <f t="shared" si="679"/>
        <v>5980</v>
      </c>
      <c r="AA47" s="177">
        <f t="shared" si="679"/>
        <v>5980</v>
      </c>
      <c r="AB47" s="179">
        <f t="shared" si="221"/>
        <v>71760</v>
      </c>
      <c r="AC47" s="177">
        <f>$E$47</f>
        <v>5980</v>
      </c>
      <c r="AD47" s="177">
        <f t="shared" ref="AD47:AN47" si="680">$E$47</f>
        <v>5980</v>
      </c>
      <c r="AE47" s="177">
        <f t="shared" si="680"/>
        <v>5980</v>
      </c>
      <c r="AF47" s="177">
        <f t="shared" si="680"/>
        <v>5980</v>
      </c>
      <c r="AG47" s="177">
        <f t="shared" si="680"/>
        <v>5980</v>
      </c>
      <c r="AH47" s="177">
        <f t="shared" si="680"/>
        <v>5980</v>
      </c>
      <c r="AI47" s="177">
        <f t="shared" si="680"/>
        <v>5980</v>
      </c>
      <c r="AJ47" s="177">
        <f t="shared" si="680"/>
        <v>5980</v>
      </c>
      <c r="AK47" s="177">
        <f t="shared" si="680"/>
        <v>5980</v>
      </c>
      <c r="AL47" s="177">
        <f t="shared" si="680"/>
        <v>5980</v>
      </c>
      <c r="AM47" s="177">
        <f t="shared" si="680"/>
        <v>5980</v>
      </c>
      <c r="AN47" s="177">
        <f t="shared" si="680"/>
        <v>5980</v>
      </c>
      <c r="AO47" s="179">
        <f t="shared" si="663"/>
        <v>71760</v>
      </c>
      <c r="AP47" s="177">
        <f>$E$47</f>
        <v>5980</v>
      </c>
      <c r="AQ47" s="177">
        <f t="shared" ref="AQ47:BA47" si="681">$E$47</f>
        <v>5980</v>
      </c>
      <c r="AR47" s="177">
        <f t="shared" si="681"/>
        <v>5980</v>
      </c>
      <c r="AS47" s="177">
        <f t="shared" si="681"/>
        <v>5980</v>
      </c>
      <c r="AT47" s="177">
        <f t="shared" si="681"/>
        <v>5980</v>
      </c>
      <c r="AU47" s="177">
        <f t="shared" si="681"/>
        <v>5980</v>
      </c>
      <c r="AV47" s="177">
        <f t="shared" si="681"/>
        <v>5980</v>
      </c>
      <c r="AW47" s="177">
        <f t="shared" si="681"/>
        <v>5980</v>
      </c>
      <c r="AX47" s="177">
        <f t="shared" si="681"/>
        <v>5980</v>
      </c>
      <c r="AY47" s="177">
        <f t="shared" si="681"/>
        <v>5980</v>
      </c>
      <c r="AZ47" s="177">
        <f t="shared" si="681"/>
        <v>5980</v>
      </c>
      <c r="BA47" s="177">
        <f t="shared" si="681"/>
        <v>5980</v>
      </c>
      <c r="BB47" s="179">
        <f t="shared" si="665"/>
        <v>71760</v>
      </c>
      <c r="BC47" s="177">
        <f>$E$47</f>
        <v>5980</v>
      </c>
      <c r="BD47" s="177">
        <f t="shared" ref="BD47:BN47" si="682">$E$47</f>
        <v>5980</v>
      </c>
      <c r="BE47" s="177">
        <f t="shared" si="682"/>
        <v>5980</v>
      </c>
      <c r="BF47" s="177">
        <f t="shared" si="682"/>
        <v>5980</v>
      </c>
      <c r="BG47" s="177">
        <f t="shared" si="682"/>
        <v>5980</v>
      </c>
      <c r="BH47" s="177">
        <f t="shared" si="682"/>
        <v>5980</v>
      </c>
      <c r="BI47" s="177">
        <f t="shared" si="682"/>
        <v>5980</v>
      </c>
      <c r="BJ47" s="177">
        <f t="shared" si="682"/>
        <v>5980</v>
      </c>
      <c r="BK47" s="177">
        <f t="shared" si="682"/>
        <v>5980</v>
      </c>
      <c r="BL47" s="177">
        <f t="shared" si="682"/>
        <v>5980</v>
      </c>
      <c r="BM47" s="177">
        <f t="shared" si="682"/>
        <v>5980</v>
      </c>
      <c r="BN47" s="177">
        <f t="shared" si="682"/>
        <v>5980</v>
      </c>
      <c r="BO47" s="179">
        <f t="shared" si="667"/>
        <v>71760</v>
      </c>
      <c r="BP47" s="177">
        <f>$E$47</f>
        <v>5980</v>
      </c>
      <c r="BQ47" s="177">
        <f t="shared" ref="BQ47:CA47" si="683">$E$47</f>
        <v>5980</v>
      </c>
      <c r="BR47" s="177">
        <f t="shared" si="683"/>
        <v>5980</v>
      </c>
      <c r="BS47" s="177">
        <f t="shared" si="683"/>
        <v>5980</v>
      </c>
      <c r="BT47" s="177">
        <f t="shared" si="683"/>
        <v>5980</v>
      </c>
      <c r="BU47" s="177">
        <f t="shared" si="683"/>
        <v>5980</v>
      </c>
      <c r="BV47" s="177">
        <f t="shared" si="683"/>
        <v>5980</v>
      </c>
      <c r="BW47" s="177">
        <f t="shared" si="683"/>
        <v>5980</v>
      </c>
      <c r="BX47" s="177">
        <f t="shared" si="683"/>
        <v>5980</v>
      </c>
      <c r="BY47" s="177">
        <f t="shared" si="683"/>
        <v>5980</v>
      </c>
      <c r="BZ47" s="177">
        <f t="shared" si="683"/>
        <v>5980</v>
      </c>
      <c r="CA47" s="177">
        <f t="shared" si="683"/>
        <v>5980</v>
      </c>
      <c r="CB47" s="179">
        <f t="shared" si="669"/>
        <v>71760</v>
      </c>
      <c r="CC47" s="177">
        <f>$E$47</f>
        <v>5980</v>
      </c>
      <c r="CD47" s="177">
        <f t="shared" ref="CD47:CN47" si="684">$E$47</f>
        <v>5980</v>
      </c>
      <c r="CE47" s="177">
        <f t="shared" si="684"/>
        <v>5980</v>
      </c>
      <c r="CF47" s="177">
        <f t="shared" si="684"/>
        <v>5980</v>
      </c>
      <c r="CG47" s="177">
        <f t="shared" si="684"/>
        <v>5980</v>
      </c>
      <c r="CH47" s="177">
        <f t="shared" si="684"/>
        <v>5980</v>
      </c>
      <c r="CI47" s="177">
        <f t="shared" si="684"/>
        <v>5980</v>
      </c>
      <c r="CJ47" s="177">
        <f t="shared" si="684"/>
        <v>5980</v>
      </c>
      <c r="CK47" s="177">
        <f t="shared" si="684"/>
        <v>5980</v>
      </c>
      <c r="CL47" s="177">
        <f t="shared" si="684"/>
        <v>5980</v>
      </c>
      <c r="CM47" s="177">
        <f t="shared" si="684"/>
        <v>5980</v>
      </c>
      <c r="CN47" s="177">
        <f t="shared" si="684"/>
        <v>5980</v>
      </c>
      <c r="CO47" s="179">
        <f t="shared" si="671"/>
        <v>71760</v>
      </c>
      <c r="CP47" s="177">
        <f>$E$47</f>
        <v>5980</v>
      </c>
      <c r="CQ47" s="177">
        <f t="shared" ref="CQ47:DA47" si="685">$E$47</f>
        <v>5980</v>
      </c>
      <c r="CR47" s="177">
        <f t="shared" si="685"/>
        <v>5980</v>
      </c>
      <c r="CS47" s="177">
        <f t="shared" si="685"/>
        <v>5980</v>
      </c>
      <c r="CT47" s="177">
        <f t="shared" si="685"/>
        <v>5980</v>
      </c>
      <c r="CU47" s="177">
        <f t="shared" si="685"/>
        <v>5980</v>
      </c>
      <c r="CV47" s="177">
        <f t="shared" si="685"/>
        <v>5980</v>
      </c>
      <c r="CW47" s="177">
        <f t="shared" si="685"/>
        <v>5980</v>
      </c>
      <c r="CX47" s="177">
        <f t="shared" si="685"/>
        <v>5980</v>
      </c>
      <c r="CY47" s="177">
        <f t="shared" si="685"/>
        <v>5980</v>
      </c>
      <c r="CZ47" s="177">
        <f t="shared" si="685"/>
        <v>5980</v>
      </c>
      <c r="DA47" s="177">
        <f t="shared" si="685"/>
        <v>5980</v>
      </c>
      <c r="DB47" s="179">
        <f t="shared" si="673"/>
        <v>71760</v>
      </c>
      <c r="DC47" s="177">
        <f>$E$47</f>
        <v>5980</v>
      </c>
      <c r="DD47" s="177">
        <f t="shared" ref="DD47:DN47" si="686">$E$47</f>
        <v>5980</v>
      </c>
      <c r="DE47" s="177">
        <f t="shared" si="686"/>
        <v>5980</v>
      </c>
      <c r="DF47" s="177">
        <f t="shared" si="686"/>
        <v>5980</v>
      </c>
      <c r="DG47" s="177">
        <f t="shared" si="686"/>
        <v>5980</v>
      </c>
      <c r="DH47" s="177">
        <f t="shared" si="686"/>
        <v>5980</v>
      </c>
      <c r="DI47" s="177">
        <f t="shared" si="686"/>
        <v>5980</v>
      </c>
      <c r="DJ47" s="177">
        <f t="shared" si="686"/>
        <v>5980</v>
      </c>
      <c r="DK47" s="177">
        <f t="shared" si="686"/>
        <v>5980</v>
      </c>
      <c r="DL47" s="177">
        <f t="shared" si="686"/>
        <v>5980</v>
      </c>
      <c r="DM47" s="177">
        <f t="shared" si="686"/>
        <v>5980</v>
      </c>
      <c r="DN47" s="177">
        <f t="shared" si="686"/>
        <v>5980</v>
      </c>
      <c r="DO47" s="179">
        <f t="shared" si="675"/>
        <v>71760</v>
      </c>
      <c r="DP47" s="177">
        <f>$E$47</f>
        <v>5980</v>
      </c>
      <c r="DQ47" s="177">
        <f t="shared" ref="DQ47:EA47" si="687">$E$47</f>
        <v>5980</v>
      </c>
      <c r="DR47" s="177">
        <f t="shared" si="687"/>
        <v>5980</v>
      </c>
      <c r="DS47" s="177">
        <f t="shared" si="687"/>
        <v>5980</v>
      </c>
      <c r="DT47" s="177">
        <f t="shared" si="687"/>
        <v>5980</v>
      </c>
      <c r="DU47" s="177">
        <f t="shared" si="687"/>
        <v>5980</v>
      </c>
      <c r="DV47" s="177">
        <f t="shared" si="687"/>
        <v>5980</v>
      </c>
      <c r="DW47" s="177">
        <f t="shared" si="687"/>
        <v>5980</v>
      </c>
      <c r="DX47" s="177">
        <f t="shared" si="687"/>
        <v>5980</v>
      </c>
      <c r="DY47" s="177">
        <f t="shared" si="687"/>
        <v>5980</v>
      </c>
      <c r="DZ47" s="177">
        <f t="shared" si="687"/>
        <v>5980</v>
      </c>
      <c r="EA47" s="177">
        <f t="shared" si="687"/>
        <v>5980</v>
      </c>
      <c r="EB47" s="181">
        <f t="shared" si="677"/>
        <v>71760</v>
      </c>
    </row>
    <row r="48" spans="1:132" s="7" customFormat="1" ht="24" customHeight="1">
      <c r="A48" s="193"/>
      <c r="B48" s="197" t="s">
        <v>200</v>
      </c>
      <c r="C48" s="2"/>
      <c r="D48" s="2"/>
      <c r="E48" s="177">
        <v>50000</v>
      </c>
      <c r="F48" s="177">
        <v>50000</v>
      </c>
      <c r="G48" s="177">
        <v>50000</v>
      </c>
      <c r="H48" s="177">
        <v>50000</v>
      </c>
      <c r="I48" s="177">
        <v>50000</v>
      </c>
      <c r="J48" s="177">
        <v>50000</v>
      </c>
      <c r="K48" s="177">
        <v>50000</v>
      </c>
      <c r="L48" s="177">
        <v>50000</v>
      </c>
      <c r="M48" s="177">
        <v>50000</v>
      </c>
      <c r="N48" s="178">
        <v>50000</v>
      </c>
      <c r="O48" s="179">
        <f t="shared" si="639"/>
        <v>500000</v>
      </c>
      <c r="P48" s="4">
        <v>50000</v>
      </c>
      <c r="Q48" s="2">
        <v>50000</v>
      </c>
      <c r="R48" s="2">
        <v>50000</v>
      </c>
      <c r="S48" s="2">
        <v>50000</v>
      </c>
      <c r="T48" s="177">
        <v>50000</v>
      </c>
      <c r="U48" s="177">
        <v>50000</v>
      </c>
      <c r="V48" s="177">
        <v>50000</v>
      </c>
      <c r="W48" s="177">
        <v>50000</v>
      </c>
      <c r="X48" s="177">
        <v>50000</v>
      </c>
      <c r="Y48" s="177">
        <v>50000</v>
      </c>
      <c r="Z48" s="177">
        <v>50000</v>
      </c>
      <c r="AA48" s="178">
        <v>50000</v>
      </c>
      <c r="AB48" s="179">
        <f t="shared" si="221"/>
        <v>600000</v>
      </c>
      <c r="AC48" s="4">
        <v>50000</v>
      </c>
      <c r="AD48" s="2">
        <v>50000</v>
      </c>
      <c r="AE48" s="2">
        <v>50000</v>
      </c>
      <c r="AF48" s="177">
        <v>50000</v>
      </c>
      <c r="AG48" s="177">
        <v>50000</v>
      </c>
      <c r="AH48" s="177">
        <v>50000</v>
      </c>
      <c r="AI48" s="177">
        <v>50000</v>
      </c>
      <c r="AJ48" s="177">
        <v>50000</v>
      </c>
      <c r="AK48" s="177">
        <v>50000</v>
      </c>
      <c r="AL48" s="177">
        <v>50000</v>
      </c>
      <c r="AM48" s="177">
        <v>50000</v>
      </c>
      <c r="AN48" s="178">
        <v>50000</v>
      </c>
      <c r="AO48" s="179">
        <f t="shared" si="454"/>
        <v>600000</v>
      </c>
      <c r="AP48" s="4">
        <v>50000</v>
      </c>
      <c r="AQ48" s="2">
        <v>50000</v>
      </c>
      <c r="AR48" s="2">
        <v>50000</v>
      </c>
      <c r="AS48" s="177">
        <v>50000</v>
      </c>
      <c r="AT48" s="177">
        <v>50000</v>
      </c>
      <c r="AU48" s="177">
        <v>50000</v>
      </c>
      <c r="AV48" s="177">
        <v>50000</v>
      </c>
      <c r="AW48" s="177">
        <v>50000</v>
      </c>
      <c r="AX48" s="177">
        <v>50000</v>
      </c>
      <c r="AY48" s="177">
        <v>50000</v>
      </c>
      <c r="AZ48" s="177">
        <v>50000</v>
      </c>
      <c r="BA48" s="178">
        <v>50000</v>
      </c>
      <c r="BB48" s="179">
        <f t="shared" si="455"/>
        <v>600000</v>
      </c>
      <c r="BC48" s="4">
        <v>50000</v>
      </c>
      <c r="BD48" s="2">
        <v>50000</v>
      </c>
      <c r="BE48" s="2">
        <v>50000</v>
      </c>
      <c r="BF48" s="177">
        <v>50000</v>
      </c>
      <c r="BG48" s="177">
        <v>50000</v>
      </c>
      <c r="BH48" s="177">
        <v>50000</v>
      </c>
      <c r="BI48" s="177">
        <v>50000</v>
      </c>
      <c r="BJ48" s="177">
        <v>50000</v>
      </c>
      <c r="BK48" s="177">
        <v>50000</v>
      </c>
      <c r="BL48" s="177">
        <v>50000</v>
      </c>
      <c r="BM48" s="177">
        <v>50000</v>
      </c>
      <c r="BN48" s="178">
        <v>50000</v>
      </c>
      <c r="BO48" s="179">
        <f t="shared" si="456"/>
        <v>600000</v>
      </c>
      <c r="BP48" s="4">
        <v>50000</v>
      </c>
      <c r="BQ48" s="2">
        <v>50000</v>
      </c>
      <c r="BR48" s="2">
        <v>50000</v>
      </c>
      <c r="BS48" s="177">
        <v>50000</v>
      </c>
      <c r="BT48" s="177">
        <v>50000</v>
      </c>
      <c r="BU48" s="177">
        <v>50000</v>
      </c>
      <c r="BV48" s="177">
        <v>50000</v>
      </c>
      <c r="BW48" s="177">
        <v>50000</v>
      </c>
      <c r="BX48" s="177">
        <v>50000</v>
      </c>
      <c r="BY48" s="177">
        <v>50000</v>
      </c>
      <c r="BZ48" s="177">
        <v>50000</v>
      </c>
      <c r="CA48" s="178">
        <v>50000</v>
      </c>
      <c r="CB48" s="179">
        <f t="shared" si="457"/>
        <v>600000</v>
      </c>
      <c r="CC48" s="4">
        <v>50000</v>
      </c>
      <c r="CD48" s="2">
        <v>50000</v>
      </c>
      <c r="CE48" s="2">
        <v>50000</v>
      </c>
      <c r="CF48" s="177">
        <v>50000</v>
      </c>
      <c r="CG48" s="177">
        <v>50000</v>
      </c>
      <c r="CH48" s="177">
        <v>50000</v>
      </c>
      <c r="CI48" s="177">
        <v>50000</v>
      </c>
      <c r="CJ48" s="177">
        <v>50000</v>
      </c>
      <c r="CK48" s="177">
        <v>50000</v>
      </c>
      <c r="CL48" s="177">
        <v>50000</v>
      </c>
      <c r="CM48" s="177">
        <v>50000</v>
      </c>
      <c r="CN48" s="178">
        <v>50000</v>
      </c>
      <c r="CO48" s="179">
        <f t="shared" si="458"/>
        <v>600000</v>
      </c>
      <c r="CP48" s="4">
        <v>50000</v>
      </c>
      <c r="CQ48" s="2">
        <v>50000</v>
      </c>
      <c r="CR48" s="2">
        <v>50000</v>
      </c>
      <c r="CS48" s="177">
        <v>50000</v>
      </c>
      <c r="CT48" s="177">
        <v>50000</v>
      </c>
      <c r="CU48" s="177">
        <v>50000</v>
      </c>
      <c r="CV48" s="177">
        <v>50000</v>
      </c>
      <c r="CW48" s="177">
        <v>50000</v>
      </c>
      <c r="CX48" s="177">
        <v>50000</v>
      </c>
      <c r="CY48" s="177">
        <v>50000</v>
      </c>
      <c r="CZ48" s="177">
        <v>50000</v>
      </c>
      <c r="DA48" s="178">
        <v>50000</v>
      </c>
      <c r="DB48" s="179">
        <f t="shared" si="459"/>
        <v>600000</v>
      </c>
      <c r="DC48" s="4">
        <v>50000</v>
      </c>
      <c r="DD48" s="2">
        <v>50000</v>
      </c>
      <c r="DE48" s="2">
        <v>50000</v>
      </c>
      <c r="DF48" s="177">
        <v>50000</v>
      </c>
      <c r="DG48" s="177">
        <v>50000</v>
      </c>
      <c r="DH48" s="177">
        <v>50000</v>
      </c>
      <c r="DI48" s="177">
        <v>50000</v>
      </c>
      <c r="DJ48" s="177">
        <v>50000</v>
      </c>
      <c r="DK48" s="177">
        <v>50000</v>
      </c>
      <c r="DL48" s="177">
        <v>50000</v>
      </c>
      <c r="DM48" s="177">
        <v>50000</v>
      </c>
      <c r="DN48" s="178">
        <v>50000</v>
      </c>
      <c r="DO48" s="179">
        <f t="shared" si="460"/>
        <v>600000</v>
      </c>
      <c r="DP48" s="4">
        <v>50000</v>
      </c>
      <c r="DQ48" s="2">
        <v>50000</v>
      </c>
      <c r="DR48" s="2">
        <v>50000</v>
      </c>
      <c r="DS48" s="177">
        <v>50000</v>
      </c>
      <c r="DT48" s="177">
        <v>50000</v>
      </c>
      <c r="DU48" s="177">
        <v>50000</v>
      </c>
      <c r="DV48" s="177">
        <v>50000</v>
      </c>
      <c r="DW48" s="177">
        <v>50000</v>
      </c>
      <c r="DX48" s="177">
        <v>50000</v>
      </c>
      <c r="DY48" s="177">
        <v>50000</v>
      </c>
      <c r="DZ48" s="177">
        <v>50000</v>
      </c>
      <c r="EA48" s="178">
        <v>50000</v>
      </c>
      <c r="EB48" s="181">
        <f t="shared" si="461"/>
        <v>600000</v>
      </c>
    </row>
    <row r="49" spans="1:132" s="7" customFormat="1" ht="24" customHeight="1">
      <c r="A49" s="193"/>
      <c r="B49" s="197" t="s">
        <v>201</v>
      </c>
      <c r="C49" s="2"/>
      <c r="D49" s="2"/>
      <c r="E49" s="2">
        <v>20000</v>
      </c>
      <c r="F49" s="2">
        <f>$E$49</f>
        <v>20000</v>
      </c>
      <c r="G49" s="2">
        <f t="shared" ref="G49:N49" si="688">$E$49</f>
        <v>20000</v>
      </c>
      <c r="H49" s="2">
        <f t="shared" si="688"/>
        <v>20000</v>
      </c>
      <c r="I49" s="2">
        <f t="shared" si="688"/>
        <v>20000</v>
      </c>
      <c r="J49" s="2">
        <f t="shared" si="688"/>
        <v>20000</v>
      </c>
      <c r="K49" s="2">
        <f t="shared" si="688"/>
        <v>20000</v>
      </c>
      <c r="L49" s="2">
        <f t="shared" si="688"/>
        <v>20000</v>
      </c>
      <c r="M49" s="2">
        <f t="shared" si="688"/>
        <v>20000</v>
      </c>
      <c r="N49" s="2">
        <f t="shared" si="688"/>
        <v>20000</v>
      </c>
      <c r="O49" s="5">
        <f t="shared" si="639"/>
        <v>200000</v>
      </c>
      <c r="P49" s="2">
        <f>$E$49</f>
        <v>20000</v>
      </c>
      <c r="Q49" s="2">
        <f t="shared" ref="Q49:AA49" si="689">$E$49</f>
        <v>20000</v>
      </c>
      <c r="R49" s="2">
        <f t="shared" si="689"/>
        <v>20000</v>
      </c>
      <c r="S49" s="2">
        <f t="shared" si="689"/>
        <v>20000</v>
      </c>
      <c r="T49" s="2">
        <f t="shared" si="689"/>
        <v>20000</v>
      </c>
      <c r="U49" s="2">
        <f t="shared" si="689"/>
        <v>20000</v>
      </c>
      <c r="V49" s="2">
        <f t="shared" si="689"/>
        <v>20000</v>
      </c>
      <c r="W49" s="2">
        <f t="shared" si="689"/>
        <v>20000</v>
      </c>
      <c r="X49" s="2">
        <f t="shared" si="689"/>
        <v>20000</v>
      </c>
      <c r="Y49" s="2">
        <f t="shared" si="689"/>
        <v>20000</v>
      </c>
      <c r="Z49" s="2">
        <f t="shared" si="689"/>
        <v>20000</v>
      </c>
      <c r="AA49" s="2">
        <f t="shared" si="689"/>
        <v>20000</v>
      </c>
      <c r="AB49" s="5">
        <f t="shared" si="221"/>
        <v>240000</v>
      </c>
      <c r="AC49" s="2">
        <f>$E$49</f>
        <v>20000</v>
      </c>
      <c r="AD49" s="2">
        <f t="shared" ref="AD49:AN49" si="690">$E$49</f>
        <v>20000</v>
      </c>
      <c r="AE49" s="2">
        <f t="shared" si="690"/>
        <v>20000</v>
      </c>
      <c r="AF49" s="2">
        <f t="shared" si="690"/>
        <v>20000</v>
      </c>
      <c r="AG49" s="2">
        <f t="shared" si="690"/>
        <v>20000</v>
      </c>
      <c r="AH49" s="2">
        <f t="shared" si="690"/>
        <v>20000</v>
      </c>
      <c r="AI49" s="2">
        <f t="shared" si="690"/>
        <v>20000</v>
      </c>
      <c r="AJ49" s="2">
        <f t="shared" si="690"/>
        <v>20000</v>
      </c>
      <c r="AK49" s="2">
        <f t="shared" si="690"/>
        <v>20000</v>
      </c>
      <c r="AL49" s="2">
        <f t="shared" si="690"/>
        <v>20000</v>
      </c>
      <c r="AM49" s="2">
        <f t="shared" si="690"/>
        <v>20000</v>
      </c>
      <c r="AN49" s="2">
        <f t="shared" si="690"/>
        <v>20000</v>
      </c>
      <c r="AO49" s="5">
        <f t="shared" si="454"/>
        <v>240000</v>
      </c>
      <c r="AP49" s="2">
        <f>$E$49</f>
        <v>20000</v>
      </c>
      <c r="AQ49" s="2">
        <f t="shared" ref="AQ49:BA49" si="691">$E$49</f>
        <v>20000</v>
      </c>
      <c r="AR49" s="2">
        <f t="shared" si="691"/>
        <v>20000</v>
      </c>
      <c r="AS49" s="2">
        <f t="shared" si="691"/>
        <v>20000</v>
      </c>
      <c r="AT49" s="2">
        <f t="shared" si="691"/>
        <v>20000</v>
      </c>
      <c r="AU49" s="2">
        <f t="shared" si="691"/>
        <v>20000</v>
      </c>
      <c r="AV49" s="2">
        <f t="shared" si="691"/>
        <v>20000</v>
      </c>
      <c r="AW49" s="2">
        <f t="shared" si="691"/>
        <v>20000</v>
      </c>
      <c r="AX49" s="2">
        <f t="shared" si="691"/>
        <v>20000</v>
      </c>
      <c r="AY49" s="2">
        <f t="shared" si="691"/>
        <v>20000</v>
      </c>
      <c r="AZ49" s="2">
        <f t="shared" si="691"/>
        <v>20000</v>
      </c>
      <c r="BA49" s="2">
        <f t="shared" si="691"/>
        <v>20000</v>
      </c>
      <c r="BB49" s="5">
        <f t="shared" si="455"/>
        <v>240000</v>
      </c>
      <c r="BC49" s="2">
        <f>$E$49</f>
        <v>20000</v>
      </c>
      <c r="BD49" s="2">
        <f t="shared" ref="BD49:BN49" si="692">$E$49</f>
        <v>20000</v>
      </c>
      <c r="BE49" s="2">
        <f t="shared" si="692"/>
        <v>20000</v>
      </c>
      <c r="BF49" s="2">
        <f t="shared" si="692"/>
        <v>20000</v>
      </c>
      <c r="BG49" s="2">
        <f t="shared" si="692"/>
        <v>20000</v>
      </c>
      <c r="BH49" s="2">
        <f t="shared" si="692"/>
        <v>20000</v>
      </c>
      <c r="BI49" s="2">
        <f t="shared" si="692"/>
        <v>20000</v>
      </c>
      <c r="BJ49" s="2">
        <f t="shared" si="692"/>
        <v>20000</v>
      </c>
      <c r="BK49" s="2">
        <f t="shared" si="692"/>
        <v>20000</v>
      </c>
      <c r="BL49" s="2">
        <f t="shared" si="692"/>
        <v>20000</v>
      </c>
      <c r="BM49" s="2">
        <f t="shared" si="692"/>
        <v>20000</v>
      </c>
      <c r="BN49" s="2">
        <f t="shared" si="692"/>
        <v>20000</v>
      </c>
      <c r="BO49" s="5">
        <f t="shared" si="456"/>
        <v>240000</v>
      </c>
      <c r="BP49" s="2">
        <f>$E$49</f>
        <v>20000</v>
      </c>
      <c r="BQ49" s="2">
        <f t="shared" ref="BQ49:CA49" si="693">$E$49</f>
        <v>20000</v>
      </c>
      <c r="BR49" s="2">
        <f t="shared" si="693"/>
        <v>20000</v>
      </c>
      <c r="BS49" s="2">
        <f t="shared" si="693"/>
        <v>20000</v>
      </c>
      <c r="BT49" s="2">
        <f t="shared" si="693"/>
        <v>20000</v>
      </c>
      <c r="BU49" s="2">
        <f t="shared" si="693"/>
        <v>20000</v>
      </c>
      <c r="BV49" s="2">
        <f t="shared" si="693"/>
        <v>20000</v>
      </c>
      <c r="BW49" s="2">
        <f t="shared" si="693"/>
        <v>20000</v>
      </c>
      <c r="BX49" s="2">
        <f t="shared" si="693"/>
        <v>20000</v>
      </c>
      <c r="BY49" s="2">
        <f t="shared" si="693"/>
        <v>20000</v>
      </c>
      <c r="BZ49" s="2">
        <f t="shared" si="693"/>
        <v>20000</v>
      </c>
      <c r="CA49" s="2">
        <f t="shared" si="693"/>
        <v>20000</v>
      </c>
      <c r="CB49" s="5">
        <f t="shared" si="457"/>
        <v>240000</v>
      </c>
      <c r="CC49" s="2">
        <f>$E$49</f>
        <v>20000</v>
      </c>
      <c r="CD49" s="2">
        <f t="shared" ref="CD49:CN49" si="694">$E$49</f>
        <v>20000</v>
      </c>
      <c r="CE49" s="2">
        <f t="shared" si="694"/>
        <v>20000</v>
      </c>
      <c r="CF49" s="2">
        <f t="shared" si="694"/>
        <v>20000</v>
      </c>
      <c r="CG49" s="2">
        <f t="shared" si="694"/>
        <v>20000</v>
      </c>
      <c r="CH49" s="2">
        <f t="shared" si="694"/>
        <v>20000</v>
      </c>
      <c r="CI49" s="2">
        <f t="shared" si="694"/>
        <v>20000</v>
      </c>
      <c r="CJ49" s="2">
        <f t="shared" si="694"/>
        <v>20000</v>
      </c>
      <c r="CK49" s="2">
        <f t="shared" si="694"/>
        <v>20000</v>
      </c>
      <c r="CL49" s="2">
        <f t="shared" si="694"/>
        <v>20000</v>
      </c>
      <c r="CM49" s="2">
        <f t="shared" si="694"/>
        <v>20000</v>
      </c>
      <c r="CN49" s="2">
        <f t="shared" si="694"/>
        <v>20000</v>
      </c>
      <c r="CO49" s="5">
        <f t="shared" si="458"/>
        <v>240000</v>
      </c>
      <c r="CP49" s="2">
        <f>$E$49</f>
        <v>20000</v>
      </c>
      <c r="CQ49" s="2">
        <f t="shared" ref="CQ49:DA49" si="695">$E$49</f>
        <v>20000</v>
      </c>
      <c r="CR49" s="2">
        <f t="shared" si="695"/>
        <v>20000</v>
      </c>
      <c r="CS49" s="2">
        <f t="shared" si="695"/>
        <v>20000</v>
      </c>
      <c r="CT49" s="2">
        <f t="shared" si="695"/>
        <v>20000</v>
      </c>
      <c r="CU49" s="2">
        <f t="shared" si="695"/>
        <v>20000</v>
      </c>
      <c r="CV49" s="2">
        <f t="shared" si="695"/>
        <v>20000</v>
      </c>
      <c r="CW49" s="2">
        <f t="shared" si="695"/>
        <v>20000</v>
      </c>
      <c r="CX49" s="2">
        <f t="shared" si="695"/>
        <v>20000</v>
      </c>
      <c r="CY49" s="2">
        <f t="shared" si="695"/>
        <v>20000</v>
      </c>
      <c r="CZ49" s="2">
        <f t="shared" si="695"/>
        <v>20000</v>
      </c>
      <c r="DA49" s="2">
        <f t="shared" si="695"/>
        <v>20000</v>
      </c>
      <c r="DB49" s="5">
        <f t="shared" si="459"/>
        <v>240000</v>
      </c>
      <c r="DC49" s="2">
        <f>$E$49</f>
        <v>20000</v>
      </c>
      <c r="DD49" s="2">
        <f t="shared" ref="DD49:DN49" si="696">$E$49</f>
        <v>20000</v>
      </c>
      <c r="DE49" s="2">
        <f t="shared" si="696"/>
        <v>20000</v>
      </c>
      <c r="DF49" s="2">
        <f t="shared" si="696"/>
        <v>20000</v>
      </c>
      <c r="DG49" s="2">
        <f t="shared" si="696"/>
        <v>20000</v>
      </c>
      <c r="DH49" s="2">
        <f t="shared" si="696"/>
        <v>20000</v>
      </c>
      <c r="DI49" s="2">
        <f t="shared" si="696"/>
        <v>20000</v>
      </c>
      <c r="DJ49" s="2">
        <f t="shared" si="696"/>
        <v>20000</v>
      </c>
      <c r="DK49" s="2">
        <f t="shared" si="696"/>
        <v>20000</v>
      </c>
      <c r="DL49" s="2">
        <f t="shared" si="696"/>
        <v>20000</v>
      </c>
      <c r="DM49" s="2">
        <f t="shared" si="696"/>
        <v>20000</v>
      </c>
      <c r="DN49" s="2">
        <f t="shared" si="696"/>
        <v>20000</v>
      </c>
      <c r="DO49" s="5">
        <f t="shared" si="460"/>
        <v>240000</v>
      </c>
      <c r="DP49" s="2">
        <f>$E$49</f>
        <v>20000</v>
      </c>
      <c r="DQ49" s="2">
        <f t="shared" ref="DQ49:EA49" si="697">$E$49</f>
        <v>20000</v>
      </c>
      <c r="DR49" s="2">
        <f t="shared" si="697"/>
        <v>20000</v>
      </c>
      <c r="DS49" s="2">
        <f t="shared" si="697"/>
        <v>20000</v>
      </c>
      <c r="DT49" s="2">
        <f t="shared" si="697"/>
        <v>20000</v>
      </c>
      <c r="DU49" s="2">
        <f t="shared" si="697"/>
        <v>20000</v>
      </c>
      <c r="DV49" s="2">
        <f t="shared" si="697"/>
        <v>20000</v>
      </c>
      <c r="DW49" s="2">
        <f t="shared" si="697"/>
        <v>20000</v>
      </c>
      <c r="DX49" s="2">
        <f t="shared" si="697"/>
        <v>20000</v>
      </c>
      <c r="DY49" s="2">
        <f t="shared" si="697"/>
        <v>20000</v>
      </c>
      <c r="DZ49" s="2">
        <f t="shared" si="697"/>
        <v>20000</v>
      </c>
      <c r="EA49" s="2">
        <f t="shared" si="697"/>
        <v>20000</v>
      </c>
      <c r="EB49" s="6">
        <f t="shared" si="461"/>
        <v>240000</v>
      </c>
    </row>
    <row r="50" spans="1:132" s="7" customFormat="1" ht="24" customHeight="1">
      <c r="A50" s="193"/>
      <c r="B50" s="197" t="s">
        <v>202</v>
      </c>
      <c r="C50" s="2"/>
      <c r="D50" s="2"/>
      <c r="E50" s="2"/>
      <c r="F50" s="2">
        <f>各種シミュレーション!$B$19*F13</f>
        <v>0</v>
      </c>
      <c r="G50" s="2">
        <f>各種シミュレーション!$B$19*G13</f>
        <v>128380.8</v>
      </c>
      <c r="H50" s="2">
        <f>各種シミュレーション!$B$19*H13</f>
        <v>135248</v>
      </c>
      <c r="I50" s="2">
        <f>各種シミュレーション!$B$19*I13</f>
        <v>150095.74400000001</v>
      </c>
      <c r="J50" s="2">
        <f>各種シミュレーション!$B$19*J13</f>
        <v>163277.47481599997</v>
      </c>
      <c r="K50" s="2">
        <f>各種シミュレーション!$B$19*K13</f>
        <v>178140.95667302396</v>
      </c>
      <c r="L50" s="2">
        <f>各種シミュレーション!$B$19*L13</f>
        <v>185725.05284799996</v>
      </c>
      <c r="M50" s="2">
        <f>各種シミュレーション!$B$19*M13</f>
        <v>188256.27758667196</v>
      </c>
      <c r="N50" s="3">
        <f>各種シミュレーション!$B$19*N13</f>
        <v>191803.5688600984</v>
      </c>
      <c r="O50" s="5">
        <f t="shared" si="639"/>
        <v>1320927.8747837944</v>
      </c>
      <c r="P50" s="180">
        <f>各種シミュレーション!$B$19*P13</f>
        <v>198339.6062436738</v>
      </c>
      <c r="Q50" s="177">
        <f>各種シミュレーション!$B$19*Q13</f>
        <v>201209.85979022112</v>
      </c>
      <c r="R50" s="177">
        <f>各種シミュレーション!$B$19*R13</f>
        <v>185589.87318008073</v>
      </c>
      <c r="S50" s="177">
        <f>各種シミュレーション!$B$19*S13</f>
        <v>205883.00450061695</v>
      </c>
      <c r="T50" s="177">
        <f>各種シミュレーション!$B$19*T13</f>
        <v>198170.65304908797</v>
      </c>
      <c r="U50" s="177">
        <f>各種シミュレーション!$B$19*U13</f>
        <v>199900.90656627176</v>
      </c>
      <c r="V50" s="177">
        <f>各種シミュレーション!$B$19*V13</f>
        <v>213705.7314233197</v>
      </c>
      <c r="W50" s="177">
        <f>各種シミュレーション!$B$19*W13</f>
        <v>214763.58832065683</v>
      </c>
      <c r="X50" s="177">
        <f>各種シミュレーション!$B$19*X13</f>
        <v>220205.5800327925</v>
      </c>
      <c r="Y50" s="177">
        <f>各種シミュレーション!$B$19*Y13</f>
        <v>223772.9713315792</v>
      </c>
      <c r="Z50" s="177">
        <f>各種シミュレーション!$B$19*Z13</f>
        <v>219952.55603231076</v>
      </c>
      <c r="AA50" s="178">
        <f>各種シミュレーション!$B$19*AA13</f>
        <v>223263.51785911529</v>
      </c>
      <c r="AB50" s="179">
        <f t="shared" si="221"/>
        <v>2504757.8483297266</v>
      </c>
      <c r="AC50" s="180">
        <f>各種シミュレーション!$B$19*AC13</f>
        <v>229415.40769832802</v>
      </c>
      <c r="AD50" s="177">
        <f>各種シミュレーション!$B$19*AD13</f>
        <v>231149.3326534899</v>
      </c>
      <c r="AE50" s="177">
        <f>各種シミュレーション!$B$19*AE13</f>
        <v>230086.02334531079</v>
      </c>
      <c r="AF50" s="177">
        <f>各種シミュレーション!$B$19*AF13</f>
        <v>242627.61424153429</v>
      </c>
      <c r="AG50" s="177">
        <f>各種シミュレーション!$B$19*AG13</f>
        <v>237131.41297983684</v>
      </c>
      <c r="AH50" s="177">
        <f>各種シミュレーション!$B$19*AH13</f>
        <v>242602.62372358283</v>
      </c>
      <c r="AI50" s="177">
        <f>各種シミュレーション!$B$19*AI13</f>
        <v>243674.77138181028</v>
      </c>
      <c r="AJ50" s="177">
        <f>各種シミュレーション!$B$19*AJ13</f>
        <v>244266.62608868332</v>
      </c>
      <c r="AK50" s="177">
        <f>各種シミュレーション!$B$19*AK13</f>
        <v>243939.70812340209</v>
      </c>
      <c r="AL50" s="177">
        <f>各種シミュレーション!$B$19*AL13</f>
        <v>245778.74308283621</v>
      </c>
      <c r="AM50" s="177">
        <f>各種シミュレーション!$B$19*AM13</f>
        <v>243270.84344477125</v>
      </c>
      <c r="AN50" s="178">
        <f>各種シミュレーション!$B$19*AN13</f>
        <v>241999.06153331467</v>
      </c>
      <c r="AO50" s="179">
        <f t="shared" si="454"/>
        <v>2875942.1682969006</v>
      </c>
      <c r="AP50" s="180">
        <f>各種シミュレーション!$B$19*AP13</f>
        <v>239001.16329915257</v>
      </c>
      <c r="AQ50" s="177">
        <f>各種シミュレーション!$B$19*AQ13</f>
        <v>243094.29771563254</v>
      </c>
      <c r="AR50" s="177">
        <f>各種シミュレーション!$B$19*AR13</f>
        <v>238391.98457215406</v>
      </c>
      <c r="AS50" s="177">
        <f>各種シミュレーション!$B$19*AS13</f>
        <v>239994.93951098443</v>
      </c>
      <c r="AT50" s="177">
        <f>各種シミュレーション!$B$19*AT13</f>
        <v>240732.21295707801</v>
      </c>
      <c r="AU50" s="177">
        <f>各種シミュレーション!$B$19*AU13</f>
        <v>241167.5269016661</v>
      </c>
      <c r="AV50" s="177">
        <f>各種シミュレーション!$B$19*AV13</f>
        <v>241915.06824630446</v>
      </c>
      <c r="AW50" s="177">
        <f>各種シミュレーション!$B$19*AW13</f>
        <v>244292.97270519123</v>
      </c>
      <c r="AX50" s="177">
        <f>各種シミュレーション!$B$19*AX13</f>
        <v>245842.62218709916</v>
      </c>
      <c r="AY50" s="177">
        <f>各種シミュレーション!$B$19*AY13</f>
        <v>245329.33719817645</v>
      </c>
      <c r="AZ50" s="177">
        <f>各種シミュレーション!$B$19*AZ13</f>
        <v>245375.06295384394</v>
      </c>
      <c r="BA50" s="178">
        <f>各種シミュレーション!$B$19*BA13</f>
        <v>243179.36636055168</v>
      </c>
      <c r="BB50" s="179">
        <f t="shared" si="455"/>
        <v>2908316.5546078342</v>
      </c>
      <c r="BC50" s="180">
        <f>各種シミュレーション!$B$19*BC13</f>
        <v>249002.24805490533</v>
      </c>
      <c r="BD50" s="177">
        <f>各種シミュレーション!$B$19*BD13</f>
        <v>249254.24625560251</v>
      </c>
      <c r="BE50" s="177">
        <f>各種シミュレーション!$B$19*BE13</f>
        <v>247179.5488401452</v>
      </c>
      <c r="BF50" s="177">
        <f>各種シミュレーション!$B$19*BF13</f>
        <v>248457.36390105978</v>
      </c>
      <c r="BG50" s="177">
        <f>各種シミュレーション!$B$19*BG13</f>
        <v>248881.52764472069</v>
      </c>
      <c r="BH50" s="177">
        <f>各種シミュレーション!$B$19*BH13</f>
        <v>249015.31694586604</v>
      </c>
      <c r="BI50" s="177">
        <f>各種シミュレーション!$B$19*BI13</f>
        <v>249472.49005886898</v>
      </c>
      <c r="BJ50" s="177">
        <f>各種シミュレーション!$B$19*BJ13</f>
        <v>251570.76991069078</v>
      </c>
      <c r="BK50" s="177">
        <f>各種シミュレーション!$B$19*BK13</f>
        <v>252851.1408959952</v>
      </c>
      <c r="BL50" s="177">
        <f>各種シミュレーション!$B$19*BL13</f>
        <v>252078.54071484343</v>
      </c>
      <c r="BM50" s="177">
        <f>各種シミュレーション!$B$19*BM13</f>
        <v>251874.54594039419</v>
      </c>
      <c r="BN50" s="178">
        <f>各種シミュレーション!$B$19*BN13</f>
        <v>249438.3684765996</v>
      </c>
      <c r="BO50" s="179">
        <f t="shared" si="456"/>
        <v>2999076.1076396913</v>
      </c>
      <c r="BP50" s="180">
        <f>各種シミュレーション!$B$19*BP13</f>
        <v>255059.21321436638</v>
      </c>
      <c r="BQ50" s="177">
        <f>各種シミュレーション!$B$19*BQ13</f>
        <v>255058.65078895973</v>
      </c>
      <c r="BR50" s="177">
        <f>各種シミュレーション!$B$19*BR13</f>
        <v>252769.19040576823</v>
      </c>
      <c r="BS50" s="177">
        <f>各種シミュレーション!$B$19*BS13</f>
        <v>253840.18872875482</v>
      </c>
      <c r="BT50" s="177">
        <f>各種シミュレーション!$B$19*BT13</f>
        <v>254065.18795379091</v>
      </c>
      <c r="BU50" s="177">
        <f>各種シミュレーション!$B$19*BU13</f>
        <v>254007.18182350064</v>
      </c>
      <c r="BV50" s="177">
        <f>各種シミュレーション!$B$19*BV13</f>
        <v>254279.65593603114</v>
      </c>
      <c r="BW50" s="177">
        <f>各種シミュレーション!$B$19*BW13</f>
        <v>256200.07065039792</v>
      </c>
      <c r="BX50" s="177">
        <f>各種シミュレーション!$B$19*BX13</f>
        <v>257309.15750833324</v>
      </c>
      <c r="BY50" s="177">
        <f>各種シミュレーション!$B$19*BY13</f>
        <v>256371.61071252485</v>
      </c>
      <c r="BZ50" s="177">
        <f>各種シミュレーション!$B$19*BZ13</f>
        <v>256008.77234816141</v>
      </c>
      <c r="CA50" s="178">
        <f>各種シミュレーション!$B$19*CA13</f>
        <v>253419.62850727941</v>
      </c>
      <c r="CB50" s="179">
        <f t="shared" si="457"/>
        <v>3058388.5085778688</v>
      </c>
      <c r="CC50" s="180">
        <f>各種シミュレーション!$B$19*CC13</f>
        <v>258911.96048133954</v>
      </c>
      <c r="CD50" s="177">
        <f>各種シミュレーション!$B$19*CD13</f>
        <v>258750.74792235126</v>
      </c>
      <c r="CE50" s="177">
        <f>各種シミュレーション!$B$19*CE13</f>
        <v>256324.67994522426</v>
      </c>
      <c r="CF50" s="177">
        <f>各種シミュレーション!$B$19*CF13</f>
        <v>257264.12515525095</v>
      </c>
      <c r="CG50" s="177">
        <f>各種シミュレーション!$B$19*CG13</f>
        <v>257362.43873250671</v>
      </c>
      <c r="CH50" s="177">
        <f>各種シミュレーション!$B$19*CH13</f>
        <v>257182.43432340396</v>
      </c>
      <c r="CI50" s="177">
        <f>各種シミュレーション!$B$19*CI13</f>
        <v>257337.42409343799</v>
      </c>
      <c r="CJ50" s="177">
        <f>各種シミュレーション!$B$19*CJ13</f>
        <v>259144.70138598082</v>
      </c>
      <c r="CK50" s="177">
        <f>各種シミュレーション!$B$19*CK13</f>
        <v>260144.83690669946</v>
      </c>
      <c r="CL50" s="177">
        <f>各種シミュレーション!$B$19*CL13</f>
        <v>259102.36997315157</v>
      </c>
      <c r="CM50" s="177">
        <f>各種シミュレーション!$B$19*CM13</f>
        <v>258638.49351614498</v>
      </c>
      <c r="CN50" s="178">
        <f>各種シミュレーション!$B$19*CN13</f>
        <v>255952.04999204763</v>
      </c>
      <c r="CO50" s="179">
        <f t="shared" si="458"/>
        <v>3096116.2624275391</v>
      </c>
      <c r="CP50" s="180">
        <f>各種シミュレーション!$B$19*CP13</f>
        <v>261362.63686998998</v>
      </c>
      <c r="CQ50" s="177">
        <f>各種シミュレーション!$B$19*CQ13</f>
        <v>261099.23710225924</v>
      </c>
      <c r="CR50" s="177">
        <f>各種シミュレーション!$B$19*CR13</f>
        <v>258586.27502547562</v>
      </c>
      <c r="CS50" s="177">
        <f>各種シミュレーション!$B$19*CS13</f>
        <v>259442.04121753309</v>
      </c>
      <c r="CT50" s="177">
        <f>各種シミュレーション!$B$19*CT13</f>
        <v>259459.77190048437</v>
      </c>
      <c r="CU50" s="177">
        <f>各種シミュレーション!$B$19*CU13</f>
        <v>259202.1661641665</v>
      </c>
      <c r="CV50" s="177">
        <f>各種シミュレーション!$B$19*CV13</f>
        <v>259282.42585609228</v>
      </c>
      <c r="CW50" s="177">
        <f>各種シミュレーション!$B$19*CW13</f>
        <v>261017.73808341689</v>
      </c>
      <c r="CX50" s="177">
        <f>各種シミュレーション!$B$19*CX13</f>
        <v>261948.57124633042</v>
      </c>
      <c r="CY50" s="177">
        <f>各種シミュレーション!$B$19*CY13</f>
        <v>260839.36614221623</v>
      </c>
      <c r="CZ50" s="177">
        <f>各種シミュレーション!$B$19*CZ13</f>
        <v>260311.2208269542</v>
      </c>
      <c r="DA50" s="178">
        <f>各種シミュレーション!$B$19*DA13</f>
        <v>257562.88639235686</v>
      </c>
      <c r="DB50" s="179">
        <f t="shared" si="459"/>
        <v>3120114.3368272753</v>
      </c>
      <c r="DC50" s="180">
        <f>各種シミュレーション!$B$19*DC13</f>
        <v>262921.47640596784</v>
      </c>
      <c r="DD50" s="177">
        <f>各種シミュレーション!$B$19*DD13</f>
        <v>262593.07684397756</v>
      </c>
      <c r="DE50" s="177">
        <f>各種シミュレーション!$B$19*DE13</f>
        <v>260024.84269675048</v>
      </c>
      <c r="DF50" s="177">
        <f>各種シミュレーション!$B$19*DF13</f>
        <v>260827.3818849707</v>
      </c>
      <c r="DG50" s="177">
        <f>各種シミュレーション!$B$19*DG13</f>
        <v>260793.8549632268</v>
      </c>
      <c r="DH50" s="177">
        <f>各種シミュレーション!$B$19*DH13</f>
        <v>260486.88815358744</v>
      </c>
      <c r="DI50" s="177">
        <f>各種シミュレーション!$B$19*DI13</f>
        <v>260519.61313190468</v>
      </c>
      <c r="DJ50" s="177">
        <f>各種シミュレーション!$B$19*DJ13</f>
        <v>262209.14943002426</v>
      </c>
      <c r="DK50" s="177">
        <f>各種シミュレーション!$B$19*DK13</f>
        <v>263095.9003731134</v>
      </c>
      <c r="DL50" s="177">
        <f>各種シミュレーション!$B$19*DL13</f>
        <v>261944.24409130812</v>
      </c>
      <c r="DM50" s="177">
        <f>各種シミュレーション!$B$19*DM13</f>
        <v>261375.21829192966</v>
      </c>
      <c r="DN50" s="178">
        <f>各種シミュレーション!$B$19*DN13</f>
        <v>258587.5159511283</v>
      </c>
      <c r="DO50" s="179">
        <f t="shared" si="460"/>
        <v>3135379.162217889</v>
      </c>
      <c r="DP50" s="180">
        <f>各種シミュレーション!$B$19*DP13</f>
        <v>263913.03151711251</v>
      </c>
      <c r="DQ50" s="177">
        <f>各種シミュレーション!$B$19*DQ13</f>
        <v>263543.28653326596</v>
      </c>
      <c r="DR50" s="177">
        <f>各種シミュレーション!$B$19*DR13</f>
        <v>260939.89462753505</v>
      </c>
      <c r="DS50" s="177">
        <f>各種シミュレーション!$B$19*DS13</f>
        <v>261708.5768943163</v>
      </c>
      <c r="DT50" s="177">
        <f>各種シミュレーション!$B$19*DT13</f>
        <v>261642.44575722658</v>
      </c>
      <c r="DU50" s="177">
        <f>各種シミュレーション!$B$19*DU13</f>
        <v>261304.08108820923</v>
      </c>
      <c r="DV50" s="177">
        <f>各種シミュレーション!$B$19*DV13</f>
        <v>261306.56992794553</v>
      </c>
      <c r="DW50" s="177">
        <f>各種シミュレーション!$B$19*DW13</f>
        <v>262966.98882461147</v>
      </c>
      <c r="DX50" s="177">
        <f>各種シミュレーション!$B$19*DX13</f>
        <v>263825.69971010083</v>
      </c>
      <c r="DY50" s="177">
        <f>各種シミュレーション!$B$19*DY13</f>
        <v>262647.04085282708</v>
      </c>
      <c r="DZ50" s="177">
        <f>各種シミュレーション!$B$19*DZ13</f>
        <v>262052.01157327247</v>
      </c>
      <c r="EA50" s="178">
        <f>各種シミュレーション!$B$19*EA13</f>
        <v>259239.26788106136</v>
      </c>
      <c r="EB50" s="181">
        <f t="shared" si="461"/>
        <v>3145088.8951874841</v>
      </c>
    </row>
    <row r="51" spans="1:132" s="7" customFormat="1" ht="24" customHeight="1">
      <c r="A51" s="193"/>
      <c r="B51" s="176" t="s">
        <v>188</v>
      </c>
      <c r="C51" s="2"/>
      <c r="D51" s="2"/>
      <c r="E51" s="2"/>
      <c r="F51" s="2">
        <f>各種シミュレーション!$B$23*(F13-F23)</f>
        <v>0</v>
      </c>
      <c r="G51" s="2">
        <f>各種シミュレーション!$B$23*(G13-G23)</f>
        <v>256761.60000000001</v>
      </c>
      <c r="H51" s="2">
        <f>各種シミュレーション!$B$23*(H13-H23)</f>
        <v>270496</v>
      </c>
      <c r="I51" s="2">
        <f>各種シミュレーション!$B$23*(I13-I23)</f>
        <v>295071.48800000001</v>
      </c>
      <c r="J51" s="2">
        <f>各種シミュレーション!$B$23*(J13-J23)</f>
        <v>313754.94963199995</v>
      </c>
      <c r="K51" s="2">
        <f>各種シミュレーション!$B$23*(K13-K23)</f>
        <v>335801.91334604792</v>
      </c>
      <c r="L51" s="2">
        <f>各種シミュレーション!$B$23*(L13-L23)</f>
        <v>350970.10569599993</v>
      </c>
      <c r="M51" s="2">
        <f>各種シミュレーション!$B$23*(M13-M23)</f>
        <v>350912.55517334392</v>
      </c>
      <c r="N51" s="3">
        <f>各種シミュレーション!$B$23*(N13-N23)</f>
        <v>358007.1377201968</v>
      </c>
      <c r="O51" s="5">
        <f t="shared" si="639"/>
        <v>2531775.7495675888</v>
      </c>
      <c r="P51" s="4">
        <f>各種シミュレーション!$B$23*(P13-P23)</f>
        <v>371079.2124873476</v>
      </c>
      <c r="Q51" s="2">
        <f>各種シミュレーション!$B$23*(Q13-Q23)</f>
        <v>376819.71958044224</v>
      </c>
      <c r="R51" s="2">
        <f>各種シミュレーション!$B$23*(R13-R23)</f>
        <v>345579.74636016146</v>
      </c>
      <c r="S51" s="2">
        <f>各種シミュレーション!$B$23*(S13-S23)</f>
        <v>386166.00900123391</v>
      </c>
      <c r="T51" s="2">
        <f>各種シミュレーション!$B$23*(T13-T23)</f>
        <v>370741.30609817593</v>
      </c>
      <c r="U51" s="2">
        <f>各種シミュレーション!$B$23*(U13-U23)</f>
        <v>374201.81313254352</v>
      </c>
      <c r="V51" s="2">
        <f>各種シミュレーション!$B$23*(V13-V23)</f>
        <v>401811.46284663939</v>
      </c>
      <c r="W51" s="2">
        <f>各種シミュレーション!$B$23*(W13-W23)</f>
        <v>403927.17664131365</v>
      </c>
      <c r="X51" s="2">
        <f>各種シミュレーション!$B$23*(X13-X23)</f>
        <v>414811.16006558499</v>
      </c>
      <c r="Y51" s="2">
        <f>各種シミュレーション!$B$23*(Y13-Y23)</f>
        <v>421945.94266315841</v>
      </c>
      <c r="Z51" s="2">
        <f>各種シミュレーション!$B$23*(Z13-Z23)</f>
        <v>414305.11206462153</v>
      </c>
      <c r="AA51" s="3">
        <f>各種シミュレーション!$B$23*(AA13-AA23)</f>
        <v>420927.03571823059</v>
      </c>
      <c r="AB51" s="5">
        <f>SUM(P51:AA51)</f>
        <v>4702315.6966594532</v>
      </c>
      <c r="AC51" s="4">
        <f>各種シミュレーション!$B$23*(AC13-AC23)</f>
        <v>433230.81539665605</v>
      </c>
      <c r="AD51" s="2">
        <f>各種シミュレーション!$B$23*(AD13-AD23)</f>
        <v>436698.66530697979</v>
      </c>
      <c r="AE51" s="2">
        <f>各種シミュレーション!$B$23*(AE13-AE23)</f>
        <v>434572.04669062159</v>
      </c>
      <c r="AF51" s="2">
        <f>各種シミュレーション!$B$23*(AF13-AF23)</f>
        <v>459655.22848306858</v>
      </c>
      <c r="AG51" s="2">
        <f>各種シミュレーション!$B$23*(AG13-AG23)</f>
        <v>448662.82595967368</v>
      </c>
      <c r="AH51" s="2">
        <f>各種シミュレーション!$B$23*(AH13-AH23)</f>
        <v>459605.24744716566</v>
      </c>
      <c r="AI51" s="2">
        <f>各種シミュレーション!$B$23*(AI13-AI23)</f>
        <v>461749.54276362056</v>
      </c>
      <c r="AJ51" s="2">
        <f>各種シミュレーション!$B$23*(AJ13-AJ23)</f>
        <v>462933.25217736664</v>
      </c>
      <c r="AK51" s="2">
        <f>各種シミュレーション!$B$23*(AK13-AK23)</f>
        <v>462279.41624680418</v>
      </c>
      <c r="AL51" s="2">
        <f>各種シミュレーション!$B$23*(AL13-AL23)</f>
        <v>465957.48616567242</v>
      </c>
      <c r="AM51" s="2">
        <f>各種シミュレーション!$B$23*(AM13-AM23)</f>
        <v>460941.6868895425</v>
      </c>
      <c r="AN51" s="3">
        <f>各種シミュレーション!$B$23*(AN13-AN23)</f>
        <v>458398.12306662934</v>
      </c>
      <c r="AO51" s="5">
        <f>SUM(AC51:AN51)</f>
        <v>5444684.3365938012</v>
      </c>
      <c r="AP51" s="4">
        <f>各種シミュレーション!$B$23*(AP13-AP23)</f>
        <v>452402.32659830514</v>
      </c>
      <c r="AQ51" s="2">
        <f>各種シミュレーション!$B$23*(AQ13-AQ23)</f>
        <v>460588.59543126507</v>
      </c>
      <c r="AR51" s="2">
        <f>各種シミュレーション!$B$23*(AR13-AR23)</f>
        <v>451183.96914430812</v>
      </c>
      <c r="AS51" s="2">
        <f>各種シミュレーション!$B$23*(AS13-AS23)</f>
        <v>454389.87902196887</v>
      </c>
      <c r="AT51" s="2">
        <f>各種シミュレーション!$B$23*(AT13-AT23)</f>
        <v>455864.42591415602</v>
      </c>
      <c r="AU51" s="2">
        <f>各種シミュレーション!$B$23*(AU13-AU23)</f>
        <v>456735.05380333221</v>
      </c>
      <c r="AV51" s="2">
        <f>各種シミュレーション!$B$23*(AV13-AV23)</f>
        <v>458230.13649260893</v>
      </c>
      <c r="AW51" s="2">
        <f>各種シミュレーション!$B$23*(AW13-AW23)</f>
        <v>462985.94541038247</v>
      </c>
      <c r="AX51" s="2">
        <f>各種シミュレーション!$B$23*(AX13-AX23)</f>
        <v>466085.24437419832</v>
      </c>
      <c r="AY51" s="2">
        <f>各種シミュレーション!$B$23*(AY13-AY23)</f>
        <v>465058.6743963529</v>
      </c>
      <c r="AZ51" s="2">
        <f>各種シミュレーション!$B$23*(AZ13-AZ23)</f>
        <v>465150.12590768788</v>
      </c>
      <c r="BA51" s="3">
        <f>各種シミュレーション!$B$23*(BA13-BA23)</f>
        <v>460758.73272110336</v>
      </c>
      <c r="BB51" s="5">
        <f>SUM(AP51:BA51)</f>
        <v>5509433.1092156693</v>
      </c>
      <c r="BC51" s="4">
        <f>各種シミュレーション!$B$23*(BC13-BC23)</f>
        <v>472404.49610981066</v>
      </c>
      <c r="BD51" s="2">
        <f>各種シミュレーション!$B$23*(BD13-BD23)</f>
        <v>472908.49251120503</v>
      </c>
      <c r="BE51" s="2">
        <f>各種シミュレーション!$B$23*(BE13-BE23)</f>
        <v>468759.0976802904</v>
      </c>
      <c r="BF51" s="2">
        <f>各種シミュレーション!$B$23*(BF13-BF23)</f>
        <v>471314.72780211957</v>
      </c>
      <c r="BG51" s="2">
        <f>各種シミュレーション!$B$23*(BG13-BG23)</f>
        <v>472163.05528944137</v>
      </c>
      <c r="BH51" s="2">
        <f>各種シミュレーション!$B$23*(BH13-BH23)</f>
        <v>472430.63389173208</v>
      </c>
      <c r="BI51" s="2">
        <f>各種シミュレーション!$B$23*(BI13-BI23)</f>
        <v>473344.98011773796</v>
      </c>
      <c r="BJ51" s="2">
        <f>各種シミュレーション!$B$23*(BJ13-BJ23)</f>
        <v>477541.53982138156</v>
      </c>
      <c r="BK51" s="2">
        <f>各種シミュレーション!$B$23*(BK13-BK23)</f>
        <v>480102.28179199039</v>
      </c>
      <c r="BL51" s="2">
        <f>各種シミュレーション!$B$23*(BL13-BL23)</f>
        <v>478557.08142968686</v>
      </c>
      <c r="BM51" s="2">
        <f>各種シミュレーション!$B$23*(BM13-BM23)</f>
        <v>478149.09188078839</v>
      </c>
      <c r="BN51" s="3">
        <f>各種シミュレーション!$B$23*(BN13-BN23)</f>
        <v>473276.7369531992</v>
      </c>
      <c r="BO51" s="5">
        <f>SUM(BC51:BN51)</f>
        <v>5690952.2152793827</v>
      </c>
      <c r="BP51" s="4">
        <f>各種シミュレーション!$B$23*(BP13-BP23)</f>
        <v>484518.42642873275</v>
      </c>
      <c r="BQ51" s="2">
        <f>各種シミュレーション!$B$23*(BQ13-BQ23)</f>
        <v>484517.30157791945</v>
      </c>
      <c r="BR51" s="2">
        <f>各種シミュレーション!$B$23*(BR13-BR23)</f>
        <v>479938.38081153645</v>
      </c>
      <c r="BS51" s="2">
        <f>各種シミュレーション!$B$23*(BS13-BS23)</f>
        <v>482080.37745750963</v>
      </c>
      <c r="BT51" s="2">
        <f>各種シミュレーション!$B$23*(BT13-BT23)</f>
        <v>482530.37590758182</v>
      </c>
      <c r="BU51" s="2">
        <f>各種シミュレーション!$B$23*(BU13-BU23)</f>
        <v>482414.36364700127</v>
      </c>
      <c r="BV51" s="2">
        <f>各種シミュレーション!$B$23*(BV13-BV23)</f>
        <v>482959.31187206227</v>
      </c>
      <c r="BW51" s="2">
        <f>各種シミュレーション!$B$23*(BW13-BW23)</f>
        <v>486800.14130079583</v>
      </c>
      <c r="BX51" s="2">
        <f>各種シミュレーション!$B$23*(BX13-BX23)</f>
        <v>489018.31501666649</v>
      </c>
      <c r="BY51" s="2">
        <f>各種シミュレーション!$B$23*(BY13-BY23)</f>
        <v>487143.22142504971</v>
      </c>
      <c r="BZ51" s="2">
        <f>各種シミュレーション!$B$23*(BZ13-BZ23)</f>
        <v>486417.54469632282</v>
      </c>
      <c r="CA51" s="3">
        <f>各種シミュレーション!$B$23*(CA13-CA23)</f>
        <v>481239.25701455883</v>
      </c>
      <c r="CB51" s="5">
        <f>SUM(BP51:CA51)</f>
        <v>5809577.0171557376</v>
      </c>
      <c r="CC51" s="4">
        <f>各種シミュレーション!$B$23*(CC13-CC23)</f>
        <v>492223.92096267908</v>
      </c>
      <c r="CD51" s="2">
        <f>各種シミュレーション!$B$23*(CD13-CD23)</f>
        <v>491901.49584470253</v>
      </c>
      <c r="CE51" s="2">
        <f>各種シミュレーション!$B$23*(CE13-CE23)</f>
        <v>487049.35989044851</v>
      </c>
      <c r="CF51" s="2">
        <f>各種シミュレーション!$B$23*(CF13-CF23)</f>
        <v>488928.2503105019</v>
      </c>
      <c r="CG51" s="2">
        <f>各種シミュレーション!$B$23*(CG13-CG23)</f>
        <v>489124.87746501341</v>
      </c>
      <c r="CH51" s="2">
        <f>各種シミュレーション!$B$23*(CH13-CH23)</f>
        <v>488764.86864680791</v>
      </c>
      <c r="CI51" s="2">
        <f>各種シミュレーション!$B$23*(CI13-CI23)</f>
        <v>489074.84818687598</v>
      </c>
      <c r="CJ51" s="2">
        <f>各種シミュレーション!$B$23*(CJ13-CJ23)</f>
        <v>492689.40277196164</v>
      </c>
      <c r="CK51" s="2">
        <f>各種シミュレーション!$B$23*(CK13-CK23)</f>
        <v>494689.67381339893</v>
      </c>
      <c r="CL51" s="2">
        <f>各種シミュレーション!$B$23*(CL13-CL23)</f>
        <v>492604.73994630313</v>
      </c>
      <c r="CM51" s="2">
        <f>各種シミュレーション!$B$23*(CM13-CM23)</f>
        <v>491676.98703228997</v>
      </c>
      <c r="CN51" s="3">
        <f>各種シミュレーション!$B$23*(CN13-CN23)</f>
        <v>486304.09998409526</v>
      </c>
      <c r="CO51" s="5">
        <f>SUM(CC51:CN51)</f>
        <v>5885032.5248550782</v>
      </c>
      <c r="CP51" s="4">
        <f>各種シミュレーション!$B$23*(CP13-CP23)</f>
        <v>497125.27373997995</v>
      </c>
      <c r="CQ51" s="2">
        <f>各種シミュレーション!$B$23*(CQ13-CQ23)</f>
        <v>496598.47420451848</v>
      </c>
      <c r="CR51" s="2">
        <f>各種シミュレーション!$B$23*(CR13-CR23)</f>
        <v>491572.55005095125</v>
      </c>
      <c r="CS51" s="2">
        <f>各種シミュレーション!$B$23*(CS13-CS23)</f>
        <v>493284.08243506617</v>
      </c>
      <c r="CT51" s="2">
        <f>各種シミュレーション!$B$23*(CT13-CT23)</f>
        <v>493319.54380096874</v>
      </c>
      <c r="CU51" s="2">
        <f>各種シミュレーション!$B$23*(CU13-CU23)</f>
        <v>492804.332328333</v>
      </c>
      <c r="CV51" s="2">
        <f>各種シミュレーション!$B$23*(CV13-CV23)</f>
        <v>492964.85171218455</v>
      </c>
      <c r="CW51" s="2">
        <f>各種シミュレーション!$B$23*(CW13-CW23)</f>
        <v>496435.47616683377</v>
      </c>
      <c r="CX51" s="2">
        <f>各種シミュレーション!$B$23*(CX13-CX23)</f>
        <v>498297.14249266079</v>
      </c>
      <c r="CY51" s="2">
        <f>各種シミュレーション!$B$23*(CY13-CY23)</f>
        <v>496078.73228443245</v>
      </c>
      <c r="CZ51" s="2">
        <f>各種シミュレーション!$B$23*(CZ13-CZ23)</f>
        <v>495022.4416539084</v>
      </c>
      <c r="DA51" s="3">
        <f>各種シミュレーション!$B$23*(DA13-DA23)</f>
        <v>489525.77278471371</v>
      </c>
      <c r="DB51" s="5">
        <f>SUM(CP51:DA51)</f>
        <v>5933028.6736545507</v>
      </c>
      <c r="DC51" s="4">
        <f>各種シミュレーション!$B$23*(DC13-DC23)</f>
        <v>500242.95281193563</v>
      </c>
      <c r="DD51" s="2">
        <f>各種シミュレーション!$B$23*(DD13-DD23)</f>
        <v>499586.15368795517</v>
      </c>
      <c r="DE51" s="2">
        <f>各種シミュレーション!$B$23*(DE13-DE23)</f>
        <v>494449.68539350096</v>
      </c>
      <c r="DF51" s="2">
        <f>各種シミュレーション!$B$23*(DF13-DF23)</f>
        <v>496054.7637699414</v>
      </c>
      <c r="DG51" s="2">
        <f>各種シミュレーション!$B$23*(DG13-DG23)</f>
        <v>495987.70992645359</v>
      </c>
      <c r="DH51" s="2">
        <f>各種シミュレーション!$B$23*(DH13-DH23)</f>
        <v>495373.77630717488</v>
      </c>
      <c r="DI51" s="2">
        <f>各種シミュレーション!$B$23*(DI13-DI23)</f>
        <v>495439.22626380937</v>
      </c>
      <c r="DJ51" s="2">
        <f>各種シミュレーション!$B$23*(DJ13-DJ23)</f>
        <v>498818.29886004853</v>
      </c>
      <c r="DK51" s="2">
        <f>各種シミュレーション!$B$23*(DK13-DK23)</f>
        <v>500591.80074622674</v>
      </c>
      <c r="DL51" s="2">
        <f>各種シミュレーション!$B$23*(DL13-DL23)</f>
        <v>498288.48818261625</v>
      </c>
      <c r="DM51" s="2">
        <f>各種シミュレーション!$B$23*(DM13-DM23)</f>
        <v>497150.43658385932</v>
      </c>
      <c r="DN51" s="3">
        <f>各種シミュレーション!$B$23*(DN13-DN23)</f>
        <v>491575.0319022566</v>
      </c>
      <c r="DO51" s="5">
        <f>SUM(DC51:DN51)</f>
        <v>5963558.324435778</v>
      </c>
      <c r="DP51" s="4">
        <f>各種シミュレーション!$B$23*(DP13-DP23)</f>
        <v>502226.06303422496</v>
      </c>
      <c r="DQ51" s="2">
        <f>各種シミュレーション!$B$23*(DQ13-DQ23)</f>
        <v>501486.57306653186</v>
      </c>
      <c r="DR51" s="2">
        <f>各種シミュレーション!$B$23*(DR13-DR23)</f>
        <v>496279.78925507009</v>
      </c>
      <c r="DS51" s="2">
        <f>各種シミュレーション!$B$23*(DS13-DS23)</f>
        <v>497817.1537886326</v>
      </c>
      <c r="DT51" s="2">
        <f>各種シミュレーション!$B$23*(DT13-DT23)</f>
        <v>497684.89151445316</v>
      </c>
      <c r="DU51" s="2">
        <f>各種シミュレーション!$B$23*(DU13-DU23)</f>
        <v>497008.16217641847</v>
      </c>
      <c r="DV51" s="2">
        <f>各種シミュレーション!$B$23*(DV13-DV23)</f>
        <v>497013.139855891</v>
      </c>
      <c r="DW51" s="2">
        <f>各種シミュレーション!$B$23*(DW13-DW23)</f>
        <v>500333.97764922294</v>
      </c>
      <c r="DX51" s="2">
        <f>各種シミュレーション!$B$23*(DX13-DX23)</f>
        <v>502051.39942020172</v>
      </c>
      <c r="DY51" s="2">
        <f>各種シミュレーション!$B$23*(DY13-DY23)</f>
        <v>499694.0817056541</v>
      </c>
      <c r="DZ51" s="2">
        <f>各種シミュレーション!$B$23*(DZ13-DZ23)</f>
        <v>498504.02314654493</v>
      </c>
      <c r="EA51" s="3">
        <f>各種シミュレーション!$B$23*(EA13-EA23)</f>
        <v>492878.53576212272</v>
      </c>
      <c r="EB51" s="6">
        <f>SUM(DP51:EA51)</f>
        <v>5982977.7903749682</v>
      </c>
    </row>
    <row r="52" spans="1:132" s="7" customFormat="1" ht="24" customHeight="1">
      <c r="A52" s="193"/>
      <c r="B52" s="176" t="s">
        <v>203</v>
      </c>
      <c r="C52" s="2"/>
      <c r="D52" s="2"/>
      <c r="E52" s="2">
        <f>IF(B2&lt;=投資概要!$N$11, 投資概要!$N$9 * 投資概要!$N$10, 0)</f>
        <v>624000</v>
      </c>
      <c r="F52" s="2">
        <f>IF(C2&lt;=投資概要!$N$11, 投資概要!$N$9 * 投資概要!$N$10, 0)</f>
        <v>624000</v>
      </c>
      <c r="G52" s="2">
        <f>IF(D2&lt;=投資概要!$N$11, 投資概要!$N$9 * 投資概要!$N$10, 0)</f>
        <v>624000</v>
      </c>
      <c r="H52" s="2">
        <f>IF(E2&lt;=投資概要!$N$11, 投資概要!$N$9 * 投資概要!$N$10, 0)</f>
        <v>624000</v>
      </c>
      <c r="I52" s="2">
        <f>IF(F2&lt;=投資概要!$N$11, 投資概要!$N$9 * 投資概要!$N$10, 0)</f>
        <v>624000</v>
      </c>
      <c r="J52" s="2">
        <f>IF(G2&lt;=投資概要!$N$11, 投資概要!$N$9 * 投資概要!$N$10, 0)</f>
        <v>624000</v>
      </c>
      <c r="K52" s="2">
        <f>IF(H2&lt;=投資概要!$N$11, 投資概要!$N$9 * 投資概要!$N$10, 0)</f>
        <v>624000</v>
      </c>
      <c r="L52" s="2">
        <f>IF(I2&lt;=投資概要!$N$11, 投資概要!$N$9 * 投資概要!$N$10, 0)</f>
        <v>624000</v>
      </c>
      <c r="M52" s="2">
        <f>IF(J2&lt;=投資概要!$N$11, 投資概要!$N$9 * 投資概要!$N$10, 0)</f>
        <v>624000</v>
      </c>
      <c r="N52" s="3">
        <f>IF(K2&lt;=投資概要!$N$11, 投資概要!$N$9 * 投資概要!$N$10, 0)</f>
        <v>624000</v>
      </c>
      <c r="O52" s="5">
        <f>SUM(E52:N52)</f>
        <v>6240000</v>
      </c>
      <c r="P52" s="4">
        <f>IF(M2&lt;=投資概要!$N$11, 投資概要!$N$9 * 投資概要!$N$10, 0)</f>
        <v>624000</v>
      </c>
      <c r="Q52" s="2">
        <f>IF(N2&lt;=投資概要!$N$11, 投資概要!$N$9 * 投資概要!$N$10, 0)</f>
        <v>624000</v>
      </c>
      <c r="R52" s="2">
        <f>IF(P2&lt;=投資概要!$N$11, 投資概要!$N$9 * 投資概要!$N$10, 0)</f>
        <v>624000</v>
      </c>
      <c r="S52" s="2">
        <f>IF(P2&lt;=投資概要!$N$11, 投資概要!$N$9 * 投資概要!$N$10, 0)</f>
        <v>624000</v>
      </c>
      <c r="T52" s="2">
        <f>IF(Q2&lt;=投資概要!$N$11, 投資概要!$N$9 * 投資概要!$N$10, 0)</f>
        <v>624000</v>
      </c>
      <c r="U52" s="2">
        <f>IF(R2&lt;=投資概要!$N$11, 投資概要!$N$9 * 投資概要!$N$10, 0)</f>
        <v>624000</v>
      </c>
      <c r="V52" s="2">
        <f>IF(S2&lt;=投資概要!$N$11, 投資概要!$N$9 * 投資概要!$N$10, 0)</f>
        <v>624000</v>
      </c>
      <c r="W52" s="2">
        <f>IF(T2&lt;=投資概要!$N$11, 投資概要!$N$9 * 投資概要!$N$10, 0)</f>
        <v>624000</v>
      </c>
      <c r="X52" s="2">
        <f>IF(U2&lt;=投資概要!$N$11, 投資概要!$N$9 * 投資概要!$N$10, 0)</f>
        <v>624000</v>
      </c>
      <c r="Y52" s="2">
        <f>IF(V2&lt;=投資概要!$N$11, 投資概要!$N$9 * 投資概要!$N$10, 0)</f>
        <v>624000</v>
      </c>
      <c r="Z52" s="2">
        <f>IF(W2&lt;=投資概要!$N$11, 投資概要!$N$9 * 投資概要!$N$10, 0)</f>
        <v>624000</v>
      </c>
      <c r="AA52" s="3">
        <f>IF(X2&lt;=投資概要!$N$11, 投資概要!$N$9 * 投資概要!$N$10, 0)</f>
        <v>624000</v>
      </c>
      <c r="AB52" s="5">
        <f>SUM(P52:AA52)</f>
        <v>7488000</v>
      </c>
      <c r="AC52" s="4">
        <f>IF(Z2&lt;=投資概要!$N$11, 投資概要!$N$9 * 投資概要!$N$10, 0)</f>
        <v>624000</v>
      </c>
      <c r="AD52" s="2">
        <f>IF(AA2&lt;=投資概要!$N$11, 投資概要!$N$9 * 投資概要!$N$10, 0)</f>
        <v>624000</v>
      </c>
      <c r="AE52" s="2">
        <f>IF(AC2&lt;=投資概要!$N$11, 投資概要!$N$9 * 投資概要!$N$10, 0)</f>
        <v>624000</v>
      </c>
      <c r="AF52" s="2">
        <f>IF(AC2&lt;=投資概要!$N$11, 投資概要!$N$9 * 投資概要!$N$10, 0)</f>
        <v>624000</v>
      </c>
      <c r="AG52" s="2">
        <f>IF(AD2&lt;=投資概要!$N$11, 投資概要!$N$9 * 投資概要!$N$10, 0)</f>
        <v>624000</v>
      </c>
      <c r="AH52" s="2">
        <f>IF(AE2&lt;=投資概要!$N$11, 投資概要!$N$9 * 投資概要!$N$10, 0)</f>
        <v>624000</v>
      </c>
      <c r="AI52" s="2">
        <f>IF(AF2&lt;=投資概要!$N$11, 投資概要!$N$9 * 投資概要!$N$10, 0)</f>
        <v>624000</v>
      </c>
      <c r="AJ52" s="2">
        <f>IF(AG2&lt;=投資概要!$N$11, 投資概要!$N$9 * 投資概要!$N$10, 0)</f>
        <v>624000</v>
      </c>
      <c r="AK52" s="2">
        <f>IF(AH2&lt;=投資概要!$N$11, 投資概要!$N$9 * 投資概要!$N$10, 0)</f>
        <v>624000</v>
      </c>
      <c r="AL52" s="2">
        <f>IF(AI2&lt;=投資概要!$N$11, 投資概要!$N$9 * 投資概要!$N$10, 0)</f>
        <v>624000</v>
      </c>
      <c r="AM52" s="2">
        <f>IF(AJ2&lt;=投資概要!$N$11, 投資概要!$N$9 * 投資概要!$N$10, 0)</f>
        <v>624000</v>
      </c>
      <c r="AN52" s="3">
        <f>IF(AK2&lt;=投資概要!$N$11, 投資概要!$N$9 * 投資概要!$N$10, 0)</f>
        <v>624000</v>
      </c>
      <c r="AO52" s="5">
        <f>SUM(AC52:AN52)</f>
        <v>7488000</v>
      </c>
      <c r="AP52" s="4">
        <f>IF(AM2&lt;=投資概要!$N$11, 投資概要!$N$9 * 投資概要!$N$10, 0)</f>
        <v>624000</v>
      </c>
      <c r="AQ52" s="2">
        <f>IF(AN2&lt;=投資概要!$N$11, 投資概要!$N$9 * 投資概要!$N$10, 0)</f>
        <v>624000</v>
      </c>
      <c r="AR52" s="2">
        <f>IF(AP2&lt;=投資概要!$N$11, 投資概要!$N$9 * 投資概要!$N$10, 0)</f>
        <v>624000</v>
      </c>
      <c r="AS52" s="2">
        <f>IF(AP2&lt;=投資概要!$N$11, 投資概要!$N$9 * 投資概要!$N$10, 0)</f>
        <v>624000</v>
      </c>
      <c r="AT52" s="2">
        <f>IF(AQ2&lt;=投資概要!$N$11, 投資概要!$N$9 * 投資概要!$N$10, 0)</f>
        <v>624000</v>
      </c>
      <c r="AU52" s="2">
        <f>IF(AR2&lt;=投資概要!$N$11, 投資概要!$N$9 * 投資概要!$N$10, 0)</f>
        <v>624000</v>
      </c>
      <c r="AV52" s="2">
        <f>IF(AS2&lt;=投資概要!$N$11, 投資概要!$N$9 * 投資概要!$N$10, 0)</f>
        <v>624000</v>
      </c>
      <c r="AW52" s="2">
        <f>IF(AT2&lt;=投資概要!$N$11, 投資概要!$N$9 * 投資概要!$N$10, 0)</f>
        <v>624000</v>
      </c>
      <c r="AX52" s="2">
        <f>IF(AU2&lt;=投資概要!$N$11, 投資概要!$N$9 * 投資概要!$N$10, 0)</f>
        <v>624000</v>
      </c>
      <c r="AY52" s="2">
        <f>IF(AV2&lt;=投資概要!$N$11, 投資概要!$N$9 * 投資概要!$N$10, 0)</f>
        <v>624000</v>
      </c>
      <c r="AZ52" s="2">
        <f>IF(AW2&lt;=投資概要!$N$11, 投資概要!$N$9 * 投資概要!$N$10, 0)</f>
        <v>624000</v>
      </c>
      <c r="BA52" s="3">
        <f>IF(AX2&lt;=投資概要!$N$11, 投資概要!$N$9 * 投資概要!$N$10, 0)</f>
        <v>624000</v>
      </c>
      <c r="BB52" s="5">
        <f>SUM(AP52:BA52)</f>
        <v>7488000</v>
      </c>
      <c r="BC52" s="4">
        <f>IF(AZ2&lt;=投資概要!$N$11, 投資概要!$N$9 * 投資概要!$N$10, 0)</f>
        <v>624000</v>
      </c>
      <c r="BD52" s="2">
        <f>IF(BA2&lt;=投資概要!$N$11, 投資概要!$N$9 * 投資概要!$N$10, 0)</f>
        <v>624000</v>
      </c>
      <c r="BE52" s="2">
        <f>IF(BC2&lt;=投資概要!$N$11, 投資概要!$N$9 * 投資概要!$N$10, 0)</f>
        <v>624000</v>
      </c>
      <c r="BF52" s="2">
        <f>IF(BC2&lt;=投資概要!$N$11, 投資概要!$N$9 * 投資概要!$N$10, 0)</f>
        <v>624000</v>
      </c>
      <c r="BG52" s="2">
        <f>IF(BD2&lt;=投資概要!$N$11, 投資概要!$N$9 * 投資概要!$N$10, 0)</f>
        <v>624000</v>
      </c>
      <c r="BH52" s="2">
        <f>IF(BE2&lt;=投資概要!$N$11, 投資概要!$N$9 * 投資概要!$N$10, 0)</f>
        <v>624000</v>
      </c>
      <c r="BI52" s="2">
        <f>IF(BF2&lt;=投資概要!$N$11, 投資概要!$N$9 * 投資概要!$N$10, 0)</f>
        <v>624000</v>
      </c>
      <c r="BJ52" s="2">
        <f>IF(BG2&lt;=投資概要!$N$11, 投資概要!$N$9 * 投資概要!$N$10, 0)</f>
        <v>624000</v>
      </c>
      <c r="BK52" s="2">
        <f>IF(BH2&lt;=投資概要!$N$11, 投資概要!$N$9 * 投資概要!$N$10, 0)</f>
        <v>624000</v>
      </c>
      <c r="BL52" s="2">
        <f>IF(BI2&lt;=投資概要!$N$11, 投資概要!$N$9 * 投資概要!$N$10, 0)</f>
        <v>624000</v>
      </c>
      <c r="BM52" s="2">
        <f>IF(BJ2&lt;=投資概要!$N$11, 投資概要!$N$9 * 投資概要!$N$10, 0)</f>
        <v>624000</v>
      </c>
      <c r="BN52" s="3">
        <f>IF(BK2&lt;=投資概要!$N$11, 投資概要!$N$9 * 投資概要!$N$10, 0)</f>
        <v>624000</v>
      </c>
      <c r="BO52" s="5">
        <f>SUM(BC52:BN52)</f>
        <v>7488000</v>
      </c>
      <c r="BP52" s="4">
        <f>IF(BM2&lt;=投資概要!$N$11, 投資概要!$N$9 * 投資概要!$N$10, 0)</f>
        <v>624000</v>
      </c>
      <c r="BQ52" s="2">
        <f>IF(BN2&lt;=投資概要!$N$11, 投資概要!$N$9 * 投資概要!$N$10, 0)</f>
        <v>624000</v>
      </c>
      <c r="BR52" s="2">
        <f>$BQ$52/10</f>
        <v>62400</v>
      </c>
      <c r="BS52" s="2">
        <f t="shared" ref="BS52:CA52" si="698">$BQ$52/10</f>
        <v>62400</v>
      </c>
      <c r="BT52" s="2">
        <f t="shared" si="698"/>
        <v>62400</v>
      </c>
      <c r="BU52" s="2">
        <f t="shared" si="698"/>
        <v>62400</v>
      </c>
      <c r="BV52" s="2">
        <f t="shared" si="698"/>
        <v>62400</v>
      </c>
      <c r="BW52" s="2">
        <f t="shared" si="698"/>
        <v>62400</v>
      </c>
      <c r="BX52" s="2">
        <f t="shared" si="698"/>
        <v>62400</v>
      </c>
      <c r="BY52" s="2">
        <f t="shared" si="698"/>
        <v>62400</v>
      </c>
      <c r="BZ52" s="2">
        <f t="shared" si="698"/>
        <v>62400</v>
      </c>
      <c r="CA52" s="2">
        <f t="shared" si="698"/>
        <v>62400</v>
      </c>
      <c r="CB52" s="5">
        <f>SUM(BP52:CA52)</f>
        <v>1872000</v>
      </c>
      <c r="CC52" s="2">
        <f>$BQ$52/10</f>
        <v>62400</v>
      </c>
      <c r="CD52" s="2">
        <f t="shared" ref="CD52:CN52" si="699">$BQ$52/10</f>
        <v>62400</v>
      </c>
      <c r="CE52" s="2">
        <f t="shared" si="699"/>
        <v>62400</v>
      </c>
      <c r="CF52" s="2">
        <f t="shared" si="699"/>
        <v>62400</v>
      </c>
      <c r="CG52" s="2">
        <f t="shared" si="699"/>
        <v>62400</v>
      </c>
      <c r="CH52" s="2">
        <f t="shared" si="699"/>
        <v>62400</v>
      </c>
      <c r="CI52" s="2">
        <f t="shared" si="699"/>
        <v>62400</v>
      </c>
      <c r="CJ52" s="2">
        <f t="shared" si="699"/>
        <v>62400</v>
      </c>
      <c r="CK52" s="2">
        <f t="shared" si="699"/>
        <v>62400</v>
      </c>
      <c r="CL52" s="2">
        <f t="shared" si="699"/>
        <v>62400</v>
      </c>
      <c r="CM52" s="2">
        <f t="shared" si="699"/>
        <v>62400</v>
      </c>
      <c r="CN52" s="2">
        <f t="shared" si="699"/>
        <v>62400</v>
      </c>
      <c r="CO52" s="5">
        <f>SUM(CC52:CN52)</f>
        <v>748800</v>
      </c>
      <c r="CP52" s="2">
        <f>$BQ$52/10</f>
        <v>62400</v>
      </c>
      <c r="CQ52" s="2">
        <f t="shared" ref="CQ52:DA52" si="700">$BQ$52/10</f>
        <v>62400</v>
      </c>
      <c r="CR52" s="2">
        <f t="shared" si="700"/>
        <v>62400</v>
      </c>
      <c r="CS52" s="2">
        <f t="shared" si="700"/>
        <v>62400</v>
      </c>
      <c r="CT52" s="2">
        <f t="shared" si="700"/>
        <v>62400</v>
      </c>
      <c r="CU52" s="2">
        <f t="shared" si="700"/>
        <v>62400</v>
      </c>
      <c r="CV52" s="2">
        <f t="shared" si="700"/>
        <v>62400</v>
      </c>
      <c r="CW52" s="2">
        <f t="shared" si="700"/>
        <v>62400</v>
      </c>
      <c r="CX52" s="2">
        <f t="shared" si="700"/>
        <v>62400</v>
      </c>
      <c r="CY52" s="2">
        <f t="shared" si="700"/>
        <v>62400</v>
      </c>
      <c r="CZ52" s="2">
        <f t="shared" si="700"/>
        <v>62400</v>
      </c>
      <c r="DA52" s="2">
        <f t="shared" si="700"/>
        <v>62400</v>
      </c>
      <c r="DB52" s="5">
        <f>SUM(CP52:DA52)</f>
        <v>748800</v>
      </c>
      <c r="DC52" s="2">
        <f>$BQ$52/10</f>
        <v>62400</v>
      </c>
      <c r="DD52" s="2">
        <f t="shared" ref="DD52:DN52" si="701">$BQ$52/10</f>
        <v>62400</v>
      </c>
      <c r="DE52" s="2">
        <f t="shared" si="701"/>
        <v>62400</v>
      </c>
      <c r="DF52" s="2">
        <f t="shared" si="701"/>
        <v>62400</v>
      </c>
      <c r="DG52" s="2">
        <f t="shared" si="701"/>
        <v>62400</v>
      </c>
      <c r="DH52" s="2">
        <f t="shared" si="701"/>
        <v>62400</v>
      </c>
      <c r="DI52" s="2">
        <f t="shared" si="701"/>
        <v>62400</v>
      </c>
      <c r="DJ52" s="2">
        <f t="shared" si="701"/>
        <v>62400</v>
      </c>
      <c r="DK52" s="2">
        <f t="shared" si="701"/>
        <v>62400</v>
      </c>
      <c r="DL52" s="2">
        <f t="shared" si="701"/>
        <v>62400</v>
      </c>
      <c r="DM52" s="2">
        <f t="shared" si="701"/>
        <v>62400</v>
      </c>
      <c r="DN52" s="2">
        <f t="shared" si="701"/>
        <v>62400</v>
      </c>
      <c r="DO52" s="5">
        <f>SUM(DC52:DN52)</f>
        <v>748800</v>
      </c>
      <c r="DP52" s="2">
        <f>$BQ$52/10</f>
        <v>62400</v>
      </c>
      <c r="DQ52" s="2">
        <f t="shared" ref="DQ52:EA52" si="702">$BQ$52/10</f>
        <v>62400</v>
      </c>
      <c r="DR52" s="2">
        <f t="shared" si="702"/>
        <v>62400</v>
      </c>
      <c r="DS52" s="2">
        <f t="shared" si="702"/>
        <v>62400</v>
      </c>
      <c r="DT52" s="2">
        <f t="shared" si="702"/>
        <v>62400</v>
      </c>
      <c r="DU52" s="2">
        <f t="shared" si="702"/>
        <v>62400</v>
      </c>
      <c r="DV52" s="2">
        <f t="shared" si="702"/>
        <v>62400</v>
      </c>
      <c r="DW52" s="2">
        <f t="shared" si="702"/>
        <v>62400</v>
      </c>
      <c r="DX52" s="2">
        <f t="shared" si="702"/>
        <v>62400</v>
      </c>
      <c r="DY52" s="2">
        <f t="shared" si="702"/>
        <v>62400</v>
      </c>
      <c r="DZ52" s="2">
        <f t="shared" si="702"/>
        <v>62400</v>
      </c>
      <c r="EA52" s="2">
        <f t="shared" si="702"/>
        <v>62400</v>
      </c>
      <c r="EB52" s="6">
        <f>SUM(DP52:EA52)</f>
        <v>748800</v>
      </c>
    </row>
    <row r="53" spans="1:132" s="338" customFormat="1" ht="36" customHeight="1">
      <c r="A53" s="365" t="s">
        <v>157</v>
      </c>
      <c r="B53" s="365"/>
      <c r="C53" s="334">
        <f t="shared" ref="C53:N53" si="703">C28-C29</f>
        <v>-240000</v>
      </c>
      <c r="D53" s="334">
        <f t="shared" si="703"/>
        <v>-644141.64</v>
      </c>
      <c r="E53" s="334">
        <f t="shared" si="703"/>
        <v>-3018563.2800000003</v>
      </c>
      <c r="F53" s="334">
        <f t="shared" si="703"/>
        <v>-3018563.2800000003</v>
      </c>
      <c r="G53" s="334">
        <f t="shared" si="703"/>
        <v>-194185.68000000017</v>
      </c>
      <c r="H53" s="334">
        <f t="shared" si="703"/>
        <v>-43107.280000000261</v>
      </c>
      <c r="I53" s="334">
        <f t="shared" si="703"/>
        <v>256663.08799999999</v>
      </c>
      <c r="J53" s="334">
        <f t="shared" si="703"/>
        <v>506341.16595199984</v>
      </c>
      <c r="K53" s="334">
        <f t="shared" si="703"/>
        <v>793017.76680652704</v>
      </c>
      <c r="L53" s="334">
        <f t="shared" si="703"/>
        <v>959867.88265599962</v>
      </c>
      <c r="M53" s="334">
        <f t="shared" si="703"/>
        <v>988674.82690678351</v>
      </c>
      <c r="N53" s="334">
        <f t="shared" si="703"/>
        <v>1017995.2349221641</v>
      </c>
      <c r="O53" s="335">
        <f>SUM(C53:N53)</f>
        <v>-2636001.1947565265</v>
      </c>
      <c r="P53" s="334">
        <f t="shared" ref="P53:AA53" si="704">P28-P29</f>
        <v>1395411.1573608234</v>
      </c>
      <c r="Q53" s="334">
        <f t="shared" si="704"/>
        <v>1758556.7353848647</v>
      </c>
      <c r="R53" s="334">
        <f t="shared" si="704"/>
        <v>1414917.029961776</v>
      </c>
      <c r="S53" s="334">
        <f t="shared" si="704"/>
        <v>1561365.9190135729</v>
      </c>
      <c r="T53" s="334">
        <f t="shared" si="704"/>
        <v>1691694.1870799353</v>
      </c>
      <c r="U53" s="334">
        <f t="shared" si="704"/>
        <v>1729759.7644579783</v>
      </c>
      <c r="V53" s="334">
        <f t="shared" si="704"/>
        <v>2033465.9113130332</v>
      </c>
      <c r="W53" s="334">
        <f t="shared" si="704"/>
        <v>2056738.76305445</v>
      </c>
      <c r="X53" s="334">
        <f t="shared" si="704"/>
        <v>2176462.5807214351</v>
      </c>
      <c r="Y53" s="334">
        <f t="shared" si="704"/>
        <v>2254945.1892947424</v>
      </c>
      <c r="Z53" s="334">
        <f t="shared" si="704"/>
        <v>2170896.0527108368</v>
      </c>
      <c r="AA53" s="334">
        <f t="shared" si="704"/>
        <v>2373097.2129005371</v>
      </c>
      <c r="AB53" s="336">
        <f>SUM(P53:AA53)</f>
        <v>22617310.503253985</v>
      </c>
      <c r="AC53" s="334">
        <f t="shared" ref="AC53:AN53" si="705">AC28-AC29</f>
        <v>2063227.0443632165</v>
      </c>
      <c r="AD53" s="334">
        <f t="shared" si="705"/>
        <v>2601373.3933767779</v>
      </c>
      <c r="AE53" s="334">
        <f t="shared" si="705"/>
        <v>2577980.5885968376</v>
      </c>
      <c r="AF53" s="334">
        <f t="shared" si="705"/>
        <v>2853895.5883137546</v>
      </c>
      <c r="AG53" s="334">
        <f t="shared" si="705"/>
        <v>2732979.1605564104</v>
      </c>
      <c r="AH53" s="334">
        <f t="shared" si="705"/>
        <v>2853345.7969188215</v>
      </c>
      <c r="AI53" s="334">
        <f t="shared" si="705"/>
        <v>2876933.045399826</v>
      </c>
      <c r="AJ53" s="334">
        <f t="shared" si="705"/>
        <v>2889953.8489510324</v>
      </c>
      <c r="AK53" s="334">
        <f t="shared" si="705"/>
        <v>2882761.6537148459</v>
      </c>
      <c r="AL53" s="334">
        <f t="shared" si="705"/>
        <v>2923220.4228223963</v>
      </c>
      <c r="AM53" s="334">
        <f t="shared" si="705"/>
        <v>2868046.6307849679</v>
      </c>
      <c r="AN53" s="334">
        <f t="shared" si="705"/>
        <v>2880947.4287329223</v>
      </c>
      <c r="AO53" s="336">
        <f>SUM(AC53:AN53)</f>
        <v>33004664.602531813</v>
      </c>
      <c r="AP53" s="334">
        <f t="shared" ref="AP53:BA53" si="706">AP28-AP29</f>
        <v>2757469.3353313562</v>
      </c>
      <c r="AQ53" s="334">
        <f t="shared" si="706"/>
        <v>2847518.2924939161</v>
      </c>
      <c r="AR53" s="334">
        <f t="shared" si="706"/>
        <v>2744067.4033373892</v>
      </c>
      <c r="AS53" s="334">
        <f t="shared" si="706"/>
        <v>2779332.4119916577</v>
      </c>
      <c r="AT53" s="334">
        <f t="shared" si="706"/>
        <v>2795552.4278057162</v>
      </c>
      <c r="AU53" s="334">
        <f t="shared" si="706"/>
        <v>2805129.3345866548</v>
      </c>
      <c r="AV53" s="334">
        <f t="shared" si="706"/>
        <v>2821575.2441686979</v>
      </c>
      <c r="AW53" s="334">
        <f t="shared" si="706"/>
        <v>2873889.1422642069</v>
      </c>
      <c r="AX53" s="334">
        <f t="shared" si="706"/>
        <v>2907981.4308661819</v>
      </c>
      <c r="AY53" s="334">
        <f t="shared" si="706"/>
        <v>2896689.1611098824</v>
      </c>
      <c r="AZ53" s="334">
        <f t="shared" si="706"/>
        <v>2897695.1277345661</v>
      </c>
      <c r="BA53" s="334">
        <f t="shared" si="706"/>
        <v>2889149.8026821371</v>
      </c>
      <c r="BB53" s="336">
        <f>SUM(AP53:BA53)</f>
        <v>34016049.114372365</v>
      </c>
      <c r="BC53" s="334">
        <f t="shared" ref="BC53:BN53" si="707">BC28-BC29</f>
        <v>2960016.6510954169</v>
      </c>
      <c r="BD53" s="334">
        <f t="shared" si="707"/>
        <v>2965560.611510755</v>
      </c>
      <c r="BE53" s="334">
        <f t="shared" si="707"/>
        <v>2919917.2683706945</v>
      </c>
      <c r="BF53" s="334">
        <f t="shared" si="707"/>
        <v>2948029.1997108152</v>
      </c>
      <c r="BG53" s="334">
        <f t="shared" si="707"/>
        <v>2957360.8020713548</v>
      </c>
      <c r="BH53" s="334">
        <f t="shared" si="707"/>
        <v>2960304.1666965531</v>
      </c>
      <c r="BI53" s="334">
        <f t="shared" si="707"/>
        <v>2970361.9751826175</v>
      </c>
      <c r="BJ53" s="334">
        <f t="shared" si="707"/>
        <v>3016524.1319226972</v>
      </c>
      <c r="BK53" s="334">
        <f t="shared" si="707"/>
        <v>3044692.2935993942</v>
      </c>
      <c r="BL53" s="334">
        <f t="shared" si="707"/>
        <v>3027695.0896140551</v>
      </c>
      <c r="BM53" s="334">
        <f t="shared" si="707"/>
        <v>3023207.2045761719</v>
      </c>
      <c r="BN53" s="334">
        <f t="shared" si="707"/>
        <v>3009371.3003726914</v>
      </c>
      <c r="BO53" s="336">
        <f>SUM(BC53:BN53)</f>
        <v>35803040.694723219</v>
      </c>
      <c r="BP53" s="334">
        <f t="shared" ref="BP53:CA53" si="708">BP28-BP29</f>
        <v>3074919.5082979347</v>
      </c>
      <c r="BQ53" s="334">
        <f t="shared" si="708"/>
        <v>3074907.1349389884</v>
      </c>
      <c r="BR53" s="334">
        <f t="shared" si="708"/>
        <v>3586139.006508776</v>
      </c>
      <c r="BS53" s="334">
        <f t="shared" si="708"/>
        <v>3609700.9696144806</v>
      </c>
      <c r="BT53" s="334">
        <f t="shared" si="708"/>
        <v>3614650.9525652751</v>
      </c>
      <c r="BU53" s="334">
        <f t="shared" si="708"/>
        <v>3613374.8176988885</v>
      </c>
      <c r="BV53" s="334">
        <f t="shared" si="708"/>
        <v>3619369.2481745593</v>
      </c>
      <c r="BW53" s="334">
        <f t="shared" si="708"/>
        <v>3661618.3718906292</v>
      </c>
      <c r="BX53" s="334">
        <f t="shared" si="708"/>
        <v>3686018.2827652064</v>
      </c>
      <c r="BY53" s="334">
        <f t="shared" si="708"/>
        <v>3665392.2532574213</v>
      </c>
      <c r="BZ53" s="334">
        <f t="shared" si="708"/>
        <v>3657409.8092414262</v>
      </c>
      <c r="CA53" s="334">
        <f t="shared" si="708"/>
        <v>3640208.6447420223</v>
      </c>
      <c r="CB53" s="336">
        <f>SUM(BP53:CA53)</f>
        <v>42503708.999695607</v>
      </c>
      <c r="CC53" s="334">
        <f t="shared" ref="CC53:CN53" si="709">CC28-CC29</f>
        <v>3702012.0530504384</v>
      </c>
      <c r="CD53" s="334">
        <f t="shared" si="709"/>
        <v>3698465.376752696</v>
      </c>
      <c r="CE53" s="334">
        <f t="shared" si="709"/>
        <v>3645091.8812559023</v>
      </c>
      <c r="CF53" s="334">
        <f t="shared" si="709"/>
        <v>3665759.6758764894</v>
      </c>
      <c r="CG53" s="334">
        <f t="shared" si="709"/>
        <v>3667922.5745761162</v>
      </c>
      <c r="CH53" s="334">
        <f t="shared" si="709"/>
        <v>3663962.4775758553</v>
      </c>
      <c r="CI53" s="334">
        <f t="shared" si="709"/>
        <v>3667372.252516604</v>
      </c>
      <c r="CJ53" s="334">
        <f t="shared" si="709"/>
        <v>3707132.3529525464</v>
      </c>
      <c r="CK53" s="334">
        <f t="shared" si="709"/>
        <v>3729135.3344083568</v>
      </c>
      <c r="CL53" s="334">
        <f t="shared" si="709"/>
        <v>3706201.0618703035</v>
      </c>
      <c r="CM53" s="334">
        <f t="shared" si="709"/>
        <v>3695995.7798161581</v>
      </c>
      <c r="CN53" s="334">
        <f t="shared" si="709"/>
        <v>3676654.0222860165</v>
      </c>
      <c r="CO53" s="336">
        <f>SUM(CC53:CN53)</f>
        <v>44225704.842937484</v>
      </c>
      <c r="CP53" s="334">
        <f t="shared" ref="CP53:DA53" si="710">CP28-CP29</f>
        <v>3735695.6437237966</v>
      </c>
      <c r="CQ53" s="334">
        <f t="shared" si="710"/>
        <v>3729900.8488337207</v>
      </c>
      <c r="CR53" s="334">
        <f t="shared" si="710"/>
        <v>3674615.6831444809</v>
      </c>
      <c r="CS53" s="334">
        <f t="shared" si="710"/>
        <v>3693442.5393697452</v>
      </c>
      <c r="CT53" s="334">
        <f t="shared" si="710"/>
        <v>3693832.6143946736</v>
      </c>
      <c r="CU53" s="334">
        <f t="shared" si="710"/>
        <v>3688165.2881956799</v>
      </c>
      <c r="CV53" s="334">
        <f t="shared" si="710"/>
        <v>3689931.0014180476</v>
      </c>
      <c r="CW53" s="334">
        <f t="shared" si="710"/>
        <v>3728107.8704191889</v>
      </c>
      <c r="CX53" s="334">
        <f t="shared" si="710"/>
        <v>3748586.2000032859</v>
      </c>
      <c r="CY53" s="334">
        <f t="shared" si="710"/>
        <v>3724183.6877127737</v>
      </c>
      <c r="CZ53" s="334">
        <f t="shared" si="710"/>
        <v>3712564.4907770101</v>
      </c>
      <c r="DA53" s="334">
        <f t="shared" si="710"/>
        <v>3691861.1332158684</v>
      </c>
      <c r="DB53" s="336">
        <f>SUM(CP53:DA53)</f>
        <v>44510887.001208268</v>
      </c>
      <c r="DC53" s="334">
        <f t="shared" ref="DC53:DN53" si="711">DC28-DC29</f>
        <v>3748747.2591445097</v>
      </c>
      <c r="DD53" s="334">
        <f t="shared" si="711"/>
        <v>3741522.4687807248</v>
      </c>
      <c r="DE53" s="334">
        <f t="shared" si="711"/>
        <v>3685021.3175417278</v>
      </c>
      <c r="DF53" s="334">
        <f t="shared" si="711"/>
        <v>3702677.1796825733</v>
      </c>
      <c r="DG53" s="334">
        <f t="shared" si="711"/>
        <v>3701939.5874042078</v>
      </c>
      <c r="DH53" s="334">
        <f t="shared" si="711"/>
        <v>3695186.3175921412</v>
      </c>
      <c r="DI53" s="334">
        <f t="shared" si="711"/>
        <v>3695906.2671151208</v>
      </c>
      <c r="DJ53" s="334">
        <f t="shared" si="711"/>
        <v>3733076.0656737518</v>
      </c>
      <c r="DK53" s="334">
        <f t="shared" si="711"/>
        <v>3752584.5864217123</v>
      </c>
      <c r="DL53" s="334">
        <f t="shared" si="711"/>
        <v>3727248.1482219966</v>
      </c>
      <c r="DM53" s="334">
        <f t="shared" si="711"/>
        <v>3714729.5806356706</v>
      </c>
      <c r="DN53" s="334">
        <f t="shared" si="711"/>
        <v>3693160.1291380408</v>
      </c>
      <c r="DO53" s="336">
        <f>SUM(DC53:DN53)</f>
        <v>44591798.907352179</v>
      </c>
      <c r="DP53" s="334">
        <f t="shared" ref="DP53:EA53" si="712">DP28-DP29</f>
        <v>3748256.4745003534</v>
      </c>
      <c r="DQ53" s="334">
        <f t="shared" si="712"/>
        <v>3740122.0848557297</v>
      </c>
      <c r="DR53" s="334">
        <f t="shared" si="712"/>
        <v>3682847.4629296502</v>
      </c>
      <c r="DS53" s="334">
        <f t="shared" si="712"/>
        <v>3699758.4727988373</v>
      </c>
      <c r="DT53" s="334">
        <f t="shared" si="712"/>
        <v>3698303.5877828635</v>
      </c>
      <c r="DU53" s="334">
        <f t="shared" si="712"/>
        <v>3690859.5650644819</v>
      </c>
      <c r="DV53" s="334">
        <f t="shared" si="712"/>
        <v>3690914.3195386799</v>
      </c>
      <c r="DW53" s="334">
        <f t="shared" si="712"/>
        <v>3727443.5352653307</v>
      </c>
      <c r="DX53" s="334">
        <f t="shared" si="712"/>
        <v>3746335.1747460975</v>
      </c>
      <c r="DY53" s="334">
        <f t="shared" si="712"/>
        <v>3720404.6798860743</v>
      </c>
      <c r="DZ53" s="334">
        <f t="shared" si="712"/>
        <v>3707314.035735873</v>
      </c>
      <c r="EA53" s="334">
        <f t="shared" si="712"/>
        <v>3685193.6745072287</v>
      </c>
      <c r="EB53" s="337">
        <f>SUM(DP53:EA53)</f>
        <v>44537753.067611203</v>
      </c>
    </row>
    <row r="54" spans="1:132" s="338" customFormat="1" ht="36" customHeight="1">
      <c r="A54" s="368" t="s">
        <v>178</v>
      </c>
      <c r="B54" s="368"/>
      <c r="C54" s="113"/>
      <c r="D54" s="113"/>
      <c r="E54" s="113"/>
      <c r="F54" s="113"/>
      <c r="G54" s="113">
        <f t="shared" ref="G54:N54" si="713">G53/G13</f>
        <v>-6.0503028490241584E-2</v>
      </c>
      <c r="H54" s="113">
        <f t="shared" si="713"/>
        <v>-1.2749106825979019E-2</v>
      </c>
      <c r="I54" s="113">
        <f t="shared" si="713"/>
        <v>6.8399830977219439E-2</v>
      </c>
      <c r="J54" s="113">
        <f t="shared" si="713"/>
        <v>0.12404434023066657</v>
      </c>
      <c r="K54" s="113">
        <f t="shared" si="713"/>
        <v>0.17806523140259176</v>
      </c>
      <c r="L54" s="113">
        <f t="shared" si="713"/>
        <v>0.20672878923697369</v>
      </c>
      <c r="M54" s="113">
        <f t="shared" si="713"/>
        <v>0.21006998323370205</v>
      </c>
      <c r="N54" s="113">
        <f t="shared" si="713"/>
        <v>0.21229953977857219</v>
      </c>
      <c r="O54" s="114">
        <f>AVERAGE(G54:N54)</f>
        <v>0.11579444744293814</v>
      </c>
      <c r="P54" s="113">
        <f t="shared" ref="P54:AA54" si="714">P53/P13</f>
        <v>0.28141855956827205</v>
      </c>
      <c r="Q54" s="113">
        <f t="shared" si="714"/>
        <v>0.34959653313576461</v>
      </c>
      <c r="R54" s="113">
        <f t="shared" si="714"/>
        <v>0.30495565425358312</v>
      </c>
      <c r="S54" s="113">
        <f t="shared" si="714"/>
        <v>0.30335013281951484</v>
      </c>
      <c r="T54" s="113">
        <f t="shared" si="714"/>
        <v>0.34146210067963861</v>
      </c>
      <c r="U54" s="113">
        <f t="shared" si="714"/>
        <v>0.34612344569523462</v>
      </c>
      <c r="V54" s="113">
        <f t="shared" si="714"/>
        <v>0.38061045864699544</v>
      </c>
      <c r="W54" s="113">
        <f t="shared" si="714"/>
        <v>0.38307029215466404</v>
      </c>
      <c r="X54" s="113">
        <f t="shared" si="714"/>
        <v>0.39535103159462559</v>
      </c>
      <c r="Y54" s="113">
        <f t="shared" si="714"/>
        <v>0.40307731105799033</v>
      </c>
      <c r="Z54" s="113">
        <f t="shared" si="714"/>
        <v>0.39479351217758701</v>
      </c>
      <c r="AA54" s="113">
        <f t="shared" si="714"/>
        <v>0.42516524610133916</v>
      </c>
      <c r="AB54" s="115">
        <f>AVERAGE(P54:AA54)</f>
        <v>0.35908118982376741</v>
      </c>
      <c r="AC54" s="113">
        <f t="shared" ref="AC54:AN54" si="715">AC53/AC13</f>
        <v>0.35973643881430606</v>
      </c>
      <c r="AD54" s="113">
        <f t="shared" si="715"/>
        <v>0.4501632539474264</v>
      </c>
      <c r="AE54" s="113">
        <f t="shared" si="715"/>
        <v>0.44817682553934712</v>
      </c>
      <c r="AF54" s="113">
        <f t="shared" si="715"/>
        <v>0.47049806712812486</v>
      </c>
      <c r="AG54" s="113">
        <f t="shared" si="715"/>
        <v>0.46100668422007746</v>
      </c>
      <c r="AH54" s="113">
        <f t="shared" si="715"/>
        <v>0.47045588429742191</v>
      </c>
      <c r="AI54" s="113">
        <f t="shared" si="715"/>
        <v>0.47225784254735237</v>
      </c>
      <c r="AJ54" s="113">
        <f t="shared" si="715"/>
        <v>0.47324579623936136</v>
      </c>
      <c r="AK54" s="113">
        <f t="shared" si="715"/>
        <v>0.47270068098245649</v>
      </c>
      <c r="AL54" s="113">
        <f t="shared" si="715"/>
        <v>0.47574829070342617</v>
      </c>
      <c r="AM54" s="113">
        <f t="shared" si="715"/>
        <v>0.47158082574512689</v>
      </c>
      <c r="AN54" s="113">
        <f t="shared" si="715"/>
        <v>0.47619150429413021</v>
      </c>
      <c r="AO54" s="115">
        <f>AVERAGE(AC54:AN54)</f>
        <v>0.45848017453821305</v>
      </c>
      <c r="AP54" s="113">
        <f t="shared" ref="AP54:BA54" si="716">AP53/AP13</f>
        <v>0.46149889770701941</v>
      </c>
      <c r="AQ54" s="113">
        <f t="shared" si="716"/>
        <v>0.4685454688575037</v>
      </c>
      <c r="AR54" s="113">
        <f t="shared" si="716"/>
        <v>0.46042947429834291</v>
      </c>
      <c r="AS54" s="113">
        <f t="shared" si="716"/>
        <v>0.4632318360803519</v>
      </c>
      <c r="AT54" s="113">
        <f t="shared" si="716"/>
        <v>0.46450824232719645</v>
      </c>
      <c r="AU54" s="113">
        <f t="shared" si="716"/>
        <v>0.46525821624905928</v>
      </c>
      <c r="AV54" s="113">
        <f t="shared" si="716"/>
        <v>0.46653980913597776</v>
      </c>
      <c r="AW54" s="113">
        <f t="shared" si="716"/>
        <v>0.47056435728626045</v>
      </c>
      <c r="AX54" s="113">
        <f t="shared" si="716"/>
        <v>0.47314520240563579</v>
      </c>
      <c r="AY54" s="113">
        <f t="shared" si="716"/>
        <v>0.4722939692728137</v>
      </c>
      <c r="AZ54" s="113">
        <f t="shared" si="716"/>
        <v>0.47236994547887445</v>
      </c>
      <c r="BA54" s="113">
        <f t="shared" si="716"/>
        <v>0.47522943182581007</v>
      </c>
      <c r="BB54" s="115">
        <f>AVERAGE(AP54:BA54)</f>
        <v>0.46780123757707054</v>
      </c>
      <c r="BC54" s="113">
        <f t="shared" ref="BC54:BN54" si="717">BC53/BC13</f>
        <v>0.47550038993105465</v>
      </c>
      <c r="BD54" s="113">
        <f t="shared" si="717"/>
        <v>0.4759093425384881</v>
      </c>
      <c r="BE54" s="113">
        <f t="shared" si="717"/>
        <v>0.4725176143531275</v>
      </c>
      <c r="BF54" s="113">
        <f t="shared" si="717"/>
        <v>0.47461329435738098</v>
      </c>
      <c r="BG54" s="113">
        <f t="shared" si="717"/>
        <v>0.47530418670412511</v>
      </c>
      <c r="BH54" s="113">
        <f t="shared" si="717"/>
        <v>0.47552161899183087</v>
      </c>
      <c r="BI54" s="113">
        <f t="shared" si="717"/>
        <v>0.4762628495801986</v>
      </c>
      <c r="BJ54" s="113">
        <f t="shared" si="717"/>
        <v>0.47963030569784915</v>
      </c>
      <c r="BK54" s="113">
        <f t="shared" si="717"/>
        <v>0.48165767143629568</v>
      </c>
      <c r="BL54" s="113">
        <f t="shared" si="717"/>
        <v>0.48043678466689443</v>
      </c>
      <c r="BM54" s="113">
        <f t="shared" si="717"/>
        <v>0.48011317591283886</v>
      </c>
      <c r="BN54" s="113">
        <f t="shared" si="717"/>
        <v>0.48258354458488328</v>
      </c>
      <c r="BO54" s="115">
        <f>AVERAGE(BC54:BN54)</f>
        <v>0.47750423156291388</v>
      </c>
      <c r="BP54" s="113">
        <f t="shared" ref="BP54:CA54" si="718">BP53/BP13</f>
        <v>0.48222833741960874</v>
      </c>
      <c r="BQ54" s="113">
        <f t="shared" si="718"/>
        <v>0.48222746030021524</v>
      </c>
      <c r="BR54" s="113">
        <f t="shared" si="718"/>
        <v>0.56749622068290484</v>
      </c>
      <c r="BS54" s="113">
        <f t="shared" si="718"/>
        <v>0.56881473145636319</v>
      </c>
      <c r="BT54" s="113">
        <f t="shared" si="718"/>
        <v>0.56909031602121007</v>
      </c>
      <c r="BU54" s="113">
        <f t="shared" si="718"/>
        <v>0.56901931540025152</v>
      </c>
      <c r="BV54" s="113">
        <f t="shared" si="718"/>
        <v>0.56935254766666521</v>
      </c>
      <c r="BW54" s="113">
        <f t="shared" si="718"/>
        <v>0.57168108698723219</v>
      </c>
      <c r="BX54" s="113">
        <f t="shared" si="718"/>
        <v>0.57301004262094024</v>
      </c>
      <c r="BY54" s="113">
        <f t="shared" si="718"/>
        <v>0.57188738535757877</v>
      </c>
      <c r="BZ54" s="113">
        <f t="shared" si="718"/>
        <v>0.57145070080137705</v>
      </c>
      <c r="CA54" s="113">
        <f t="shared" si="718"/>
        <v>0.57457406376672326</v>
      </c>
      <c r="CB54" s="115">
        <f>AVERAGE(BP54:CA54)</f>
        <v>0.55590268404008936</v>
      </c>
      <c r="CC54" s="113">
        <f t="shared" ref="CC54:CN54" si="719">CC53/CC13</f>
        <v>0.57193372545139753</v>
      </c>
      <c r="CD54" s="113">
        <f t="shared" si="719"/>
        <v>0.57174178725273817</v>
      </c>
      <c r="CE54" s="113">
        <f t="shared" si="719"/>
        <v>0.56882417752903802</v>
      </c>
      <c r="CF54" s="113">
        <f t="shared" si="719"/>
        <v>0.56996049078577382</v>
      </c>
      <c r="CG54" s="113">
        <f t="shared" si="719"/>
        <v>0.57007892723435427</v>
      </c>
      <c r="CH54" s="113">
        <f t="shared" si="719"/>
        <v>0.56986201055527219</v>
      </c>
      <c r="CI54" s="113">
        <f t="shared" si="719"/>
        <v>0.57004880117009316</v>
      </c>
      <c r="CJ54" s="113">
        <f t="shared" si="719"/>
        <v>0.57221040339636209</v>
      </c>
      <c r="CK54" s="113">
        <f t="shared" si="719"/>
        <v>0.57339371078824142</v>
      </c>
      <c r="CL54" s="113">
        <f t="shared" si="719"/>
        <v>0.57216011760206498</v>
      </c>
      <c r="CM54" s="113">
        <f t="shared" si="719"/>
        <v>0.57160799687157826</v>
      </c>
      <c r="CN54" s="113">
        <f t="shared" si="719"/>
        <v>0.57458481342896051</v>
      </c>
      <c r="CO54" s="115">
        <f>AVERAGE(CC54:CN54)</f>
        <v>0.57136724683882278</v>
      </c>
      <c r="CP54" s="113">
        <f t="shared" ref="CP54:DA54" si="720">CP53/CP13</f>
        <v>0.57172604140538263</v>
      </c>
      <c r="CQ54" s="113">
        <f t="shared" si="720"/>
        <v>0.57141505126235337</v>
      </c>
      <c r="CR54" s="113">
        <f t="shared" si="720"/>
        <v>0.56841619808049937</v>
      </c>
      <c r="CS54" s="113">
        <f t="shared" si="720"/>
        <v>0.56944395319075103</v>
      </c>
      <c r="CT54" s="113">
        <f t="shared" si="720"/>
        <v>0.56946517563600429</v>
      </c>
      <c r="CU54" s="113">
        <f t="shared" si="720"/>
        <v>0.5691565534000621</v>
      </c>
      <c r="CV54" s="113">
        <f t="shared" si="720"/>
        <v>0.56925277357070769</v>
      </c>
      <c r="CW54" s="113">
        <f t="shared" si="720"/>
        <v>0.57131870006899654</v>
      </c>
      <c r="CX54" s="113">
        <f t="shared" si="720"/>
        <v>0.57241559778972062</v>
      </c>
      <c r="CY54" s="113">
        <f t="shared" si="720"/>
        <v>0.57110761198250337</v>
      </c>
      <c r="CZ54" s="113">
        <f t="shared" si="720"/>
        <v>0.5704809003596496</v>
      </c>
      <c r="DA54" s="113">
        <f t="shared" si="720"/>
        <v>0.57335296787936973</v>
      </c>
      <c r="DB54" s="115">
        <f>AVERAGE(CP54:DA54)</f>
        <v>0.57062929371883331</v>
      </c>
      <c r="DC54" s="113">
        <f t="shared" ref="DC54:DN54" si="721">DC53/DC13</f>
        <v>0.57032195473544367</v>
      </c>
      <c r="DD54" s="113">
        <f t="shared" si="721"/>
        <v>0.5699346705935876</v>
      </c>
      <c r="DE54" s="113">
        <f t="shared" si="721"/>
        <v>0.56687219256804955</v>
      </c>
      <c r="DF54" s="113">
        <f t="shared" si="721"/>
        <v>0.56783565481871323</v>
      </c>
      <c r="DG54" s="113">
        <f t="shared" si="721"/>
        <v>0.56779552385177157</v>
      </c>
      <c r="DH54" s="113">
        <f t="shared" si="721"/>
        <v>0.56742761123752183</v>
      </c>
      <c r="DI54" s="113">
        <f t="shared" si="721"/>
        <v>0.56746687478671054</v>
      </c>
      <c r="DJ54" s="113">
        <f t="shared" si="721"/>
        <v>0.56948067201903607</v>
      </c>
      <c r="DK54" s="113">
        <f t="shared" si="721"/>
        <v>0.57052726113936836</v>
      </c>
      <c r="DL54" s="113">
        <f t="shared" si="721"/>
        <v>0.5691666424894235</v>
      </c>
      <c r="DM54" s="113">
        <f t="shared" si="721"/>
        <v>0.56848994405991371</v>
      </c>
      <c r="DN54" s="113">
        <f t="shared" si="721"/>
        <v>0.57128204593388476</v>
      </c>
      <c r="DO54" s="115">
        <f>AVERAGE(DC54:DN54)</f>
        <v>0.56888342068611875</v>
      </c>
      <c r="DP54" s="113">
        <f t="shared" ref="DP54:EA54" si="722">DP53/DP13</f>
        <v>0.5681047961828003</v>
      </c>
      <c r="DQ54" s="113">
        <f t="shared" si="722"/>
        <v>0.56766721460516201</v>
      </c>
      <c r="DR54" s="113">
        <f t="shared" si="722"/>
        <v>0.56455107689631556</v>
      </c>
      <c r="DS54" s="113">
        <f t="shared" si="722"/>
        <v>0.56547760363129118</v>
      </c>
      <c r="DT54" s="113">
        <f t="shared" si="722"/>
        <v>0.56539810688277303</v>
      </c>
      <c r="DU54" s="113">
        <f t="shared" si="722"/>
        <v>0.56499072646608184</v>
      </c>
      <c r="DV54" s="113">
        <f t="shared" si="722"/>
        <v>0.56499372680242033</v>
      </c>
      <c r="DW54" s="113">
        <f t="shared" si="722"/>
        <v>0.56698273071094674</v>
      </c>
      <c r="DX54" s="113">
        <f t="shared" si="722"/>
        <v>0.5680015523677453</v>
      </c>
      <c r="DY54" s="113">
        <f t="shared" si="722"/>
        <v>0.56660142338641983</v>
      </c>
      <c r="DZ54" s="113">
        <f t="shared" si="722"/>
        <v>0.56588980385663168</v>
      </c>
      <c r="EA54" s="113">
        <f t="shared" si="722"/>
        <v>0.5686165841508225</v>
      </c>
      <c r="EB54" s="116">
        <f>AVERAGE(DP54:EA54)</f>
        <v>0.56643961216161742</v>
      </c>
    </row>
    <row r="55" spans="1:132" s="95" customFormat="1" ht="36" customHeight="1">
      <c r="A55" s="369" t="s">
        <v>134</v>
      </c>
      <c r="B55" s="370"/>
      <c r="C55" s="117"/>
      <c r="D55" s="117"/>
      <c r="E55" s="117">
        <f>SUM(E56:E58)</f>
        <v>130000</v>
      </c>
      <c r="F55" s="117">
        <f>SUM(F56:F58)</f>
        <v>130000</v>
      </c>
      <c r="G55" s="117">
        <f t="shared" ref="G55:N55" si="723">SUM(G56:G58)</f>
        <v>130000</v>
      </c>
      <c r="H55" s="117">
        <f t="shared" si="723"/>
        <v>130000</v>
      </c>
      <c r="I55" s="117">
        <f t="shared" si="723"/>
        <v>130000</v>
      </c>
      <c r="J55" s="117">
        <f t="shared" si="723"/>
        <v>130000</v>
      </c>
      <c r="K55" s="117">
        <f t="shared" si="723"/>
        <v>130000</v>
      </c>
      <c r="L55" s="117">
        <f t="shared" si="723"/>
        <v>130000</v>
      </c>
      <c r="M55" s="117">
        <f t="shared" si="723"/>
        <v>130000</v>
      </c>
      <c r="N55" s="118">
        <f t="shared" si="723"/>
        <v>130000</v>
      </c>
      <c r="O55" s="119">
        <f>SUM(C55:N55)</f>
        <v>1300000</v>
      </c>
      <c r="P55" s="120">
        <f>SUM(P56:P58)</f>
        <v>130000</v>
      </c>
      <c r="Q55" s="117">
        <f t="shared" ref="Q55" si="724">SUM(Q56:Q58)</f>
        <v>130000</v>
      </c>
      <c r="R55" s="117">
        <f t="shared" ref="R55" si="725">SUM(R56:R58)</f>
        <v>130000</v>
      </c>
      <c r="S55" s="117">
        <f t="shared" ref="S55" si="726">SUM(S56:S58)</f>
        <v>130000</v>
      </c>
      <c r="T55" s="117">
        <f t="shared" ref="T55" si="727">SUM(T56:T58)</f>
        <v>130000</v>
      </c>
      <c r="U55" s="117">
        <f t="shared" ref="U55" si="728">SUM(U56:U58)</f>
        <v>130000</v>
      </c>
      <c r="V55" s="117">
        <f t="shared" ref="V55" si="729">SUM(V56:V58)</f>
        <v>130000</v>
      </c>
      <c r="W55" s="117">
        <f t="shared" ref="W55" si="730">SUM(W56:W58)</f>
        <v>130000</v>
      </c>
      <c r="X55" s="117">
        <f t="shared" ref="X55" si="731">SUM(X56:X58)</f>
        <v>130000</v>
      </c>
      <c r="Y55" s="117">
        <f>SUM(Y56:Y58)</f>
        <v>130000</v>
      </c>
      <c r="Z55" s="117">
        <f t="shared" ref="Z55" si="732">SUM(Z56:Z58)</f>
        <v>130000</v>
      </c>
      <c r="AA55" s="118">
        <f t="shared" ref="AA55" si="733">SUM(AA56:AA58)</f>
        <v>130000</v>
      </c>
      <c r="AB55" s="119">
        <f>SUM(P55:AA55)</f>
        <v>1560000</v>
      </c>
      <c r="AC55" s="120">
        <f>SUM(AC56:AC58)</f>
        <v>130000</v>
      </c>
      <c r="AD55" s="117">
        <f t="shared" ref="AD55" si="734">SUM(AD56:AD58)</f>
        <v>130000</v>
      </c>
      <c r="AE55" s="117">
        <f t="shared" ref="AE55" si="735">SUM(AE56:AE58)</f>
        <v>130000</v>
      </c>
      <c r="AF55" s="117">
        <f t="shared" ref="AF55" si="736">SUM(AF56:AF58)</f>
        <v>130000</v>
      </c>
      <c r="AG55" s="117">
        <f t="shared" ref="AG55" si="737">SUM(AG56:AG58)</f>
        <v>130000</v>
      </c>
      <c r="AH55" s="117">
        <f t="shared" ref="AH55" si="738">SUM(AH56:AH58)</f>
        <v>130000</v>
      </c>
      <c r="AI55" s="117">
        <f t="shared" ref="AI55" si="739">SUM(AI56:AI58)</f>
        <v>130000</v>
      </c>
      <c r="AJ55" s="117">
        <f t="shared" ref="AJ55" si="740">SUM(AJ56:AJ58)</f>
        <v>130000</v>
      </c>
      <c r="AK55" s="117">
        <f t="shared" ref="AK55" si="741">SUM(AK56:AK58)</f>
        <v>130000</v>
      </c>
      <c r="AL55" s="117">
        <f>SUM(AL56:AL58)</f>
        <v>130000</v>
      </c>
      <c r="AM55" s="117">
        <f t="shared" ref="AM55" si="742">SUM(AM56:AM58)</f>
        <v>130000</v>
      </c>
      <c r="AN55" s="118">
        <f t="shared" ref="AN55" si="743">SUM(AN56:AN58)</f>
        <v>130000</v>
      </c>
      <c r="AO55" s="119">
        <f>SUM(AC55:AN55)</f>
        <v>1560000</v>
      </c>
      <c r="AP55" s="120">
        <f>SUM(AP56:AP58)</f>
        <v>130000</v>
      </c>
      <c r="AQ55" s="117">
        <f t="shared" ref="AQ55" si="744">SUM(AQ56:AQ58)</f>
        <v>130000</v>
      </c>
      <c r="AR55" s="117">
        <f t="shared" ref="AR55" si="745">SUM(AR56:AR58)</f>
        <v>130000</v>
      </c>
      <c r="AS55" s="117">
        <f t="shared" ref="AS55" si="746">SUM(AS56:AS58)</f>
        <v>130000</v>
      </c>
      <c r="AT55" s="117">
        <f t="shared" ref="AT55" si="747">SUM(AT56:AT58)</f>
        <v>130000</v>
      </c>
      <c r="AU55" s="117">
        <f t="shared" ref="AU55" si="748">SUM(AU56:AU58)</f>
        <v>130000</v>
      </c>
      <c r="AV55" s="117">
        <f t="shared" ref="AV55" si="749">SUM(AV56:AV58)</f>
        <v>130000</v>
      </c>
      <c r="AW55" s="117">
        <f t="shared" ref="AW55" si="750">SUM(AW56:AW58)</f>
        <v>130000</v>
      </c>
      <c r="AX55" s="117">
        <f t="shared" ref="AX55" si="751">SUM(AX56:AX58)</f>
        <v>130000</v>
      </c>
      <c r="AY55" s="117">
        <f>SUM(AY56:AY58)</f>
        <v>130000</v>
      </c>
      <c r="AZ55" s="117">
        <f t="shared" ref="AZ55" si="752">SUM(AZ56:AZ58)</f>
        <v>130000</v>
      </c>
      <c r="BA55" s="118">
        <f t="shared" ref="BA55" si="753">SUM(BA56:BA58)</f>
        <v>130000</v>
      </c>
      <c r="BB55" s="119">
        <f>SUM(AP55:BA55)</f>
        <v>1560000</v>
      </c>
      <c r="BC55" s="120">
        <f>SUM(BC56:BC58)</f>
        <v>130000</v>
      </c>
      <c r="BD55" s="117">
        <f t="shared" ref="BD55" si="754">SUM(BD56:BD58)</f>
        <v>130000</v>
      </c>
      <c r="BE55" s="117">
        <f t="shared" ref="BE55" si="755">SUM(BE56:BE58)</f>
        <v>130000</v>
      </c>
      <c r="BF55" s="117">
        <f t="shared" ref="BF55" si="756">SUM(BF56:BF58)</f>
        <v>130000</v>
      </c>
      <c r="BG55" s="117">
        <f t="shared" ref="BG55" si="757">SUM(BG56:BG58)</f>
        <v>130000</v>
      </c>
      <c r="BH55" s="117">
        <f t="shared" ref="BH55" si="758">SUM(BH56:BH58)</f>
        <v>130000</v>
      </c>
      <c r="BI55" s="117">
        <f t="shared" ref="BI55" si="759">SUM(BI56:BI58)</f>
        <v>130000</v>
      </c>
      <c r="BJ55" s="117">
        <f t="shared" ref="BJ55" si="760">SUM(BJ56:BJ58)</f>
        <v>130000</v>
      </c>
      <c r="BK55" s="117">
        <f t="shared" ref="BK55" si="761">SUM(BK56:BK58)</f>
        <v>130000</v>
      </c>
      <c r="BL55" s="117">
        <f>SUM(BL56:BL58)</f>
        <v>130000</v>
      </c>
      <c r="BM55" s="117">
        <f t="shared" ref="BM55" si="762">SUM(BM56:BM58)</f>
        <v>130000</v>
      </c>
      <c r="BN55" s="118">
        <f t="shared" ref="BN55" si="763">SUM(BN56:BN58)</f>
        <v>130000</v>
      </c>
      <c r="BO55" s="119">
        <f>SUM(BC55:BN55)</f>
        <v>1560000</v>
      </c>
      <c r="BP55" s="120">
        <f>SUM(BP56:BP58)</f>
        <v>130000</v>
      </c>
      <c r="BQ55" s="117">
        <f t="shared" ref="BQ55" si="764">SUM(BQ56:BQ58)</f>
        <v>130000</v>
      </c>
      <c r="BR55" s="117">
        <f t="shared" ref="BR55" si="765">SUM(BR56:BR58)</f>
        <v>80000</v>
      </c>
      <c r="BS55" s="117">
        <f t="shared" ref="BS55" si="766">SUM(BS56:BS58)</f>
        <v>80000</v>
      </c>
      <c r="BT55" s="117">
        <f t="shared" ref="BT55" si="767">SUM(BT56:BT58)</f>
        <v>80000</v>
      </c>
      <c r="BU55" s="117">
        <f t="shared" ref="BU55" si="768">SUM(BU56:BU58)</f>
        <v>80000</v>
      </c>
      <c r="BV55" s="117">
        <f t="shared" ref="BV55" si="769">SUM(BV56:BV58)</f>
        <v>80000</v>
      </c>
      <c r="BW55" s="117">
        <f t="shared" ref="BW55" si="770">SUM(BW56:BW58)</f>
        <v>80000</v>
      </c>
      <c r="BX55" s="117">
        <f t="shared" ref="BX55" si="771">SUM(BX56:BX58)</f>
        <v>80000</v>
      </c>
      <c r="BY55" s="117">
        <f>SUM(BY56:BY58)</f>
        <v>80000</v>
      </c>
      <c r="BZ55" s="117">
        <f t="shared" ref="BZ55" si="772">SUM(BZ56:BZ58)</f>
        <v>80000</v>
      </c>
      <c r="CA55" s="118">
        <f t="shared" ref="CA55" si="773">SUM(CA56:CA58)</f>
        <v>80000</v>
      </c>
      <c r="CB55" s="119">
        <f>SUM(BP55:CA55)</f>
        <v>1060000</v>
      </c>
      <c r="CC55" s="120">
        <f>SUM(CC56:CC58)</f>
        <v>80000</v>
      </c>
      <c r="CD55" s="117">
        <f t="shared" ref="CD55" si="774">SUM(CD56:CD58)</f>
        <v>80000</v>
      </c>
      <c r="CE55" s="117">
        <f t="shared" ref="CE55" si="775">SUM(CE56:CE58)</f>
        <v>80000</v>
      </c>
      <c r="CF55" s="117">
        <f t="shared" ref="CF55" si="776">SUM(CF56:CF58)</f>
        <v>80000</v>
      </c>
      <c r="CG55" s="117">
        <f t="shared" ref="CG55" si="777">SUM(CG56:CG58)</f>
        <v>80000</v>
      </c>
      <c r="CH55" s="117">
        <f t="shared" ref="CH55" si="778">SUM(CH56:CH58)</f>
        <v>80000</v>
      </c>
      <c r="CI55" s="117">
        <f t="shared" ref="CI55" si="779">SUM(CI56:CI58)</f>
        <v>80000</v>
      </c>
      <c r="CJ55" s="117">
        <f t="shared" ref="CJ55" si="780">SUM(CJ56:CJ58)</f>
        <v>80000</v>
      </c>
      <c r="CK55" s="117">
        <f t="shared" ref="CK55" si="781">SUM(CK56:CK58)</f>
        <v>80000</v>
      </c>
      <c r="CL55" s="117">
        <f>SUM(CL56:CL58)</f>
        <v>80000</v>
      </c>
      <c r="CM55" s="117">
        <f t="shared" ref="CM55" si="782">SUM(CM56:CM58)</f>
        <v>80000</v>
      </c>
      <c r="CN55" s="118">
        <f t="shared" ref="CN55" si="783">SUM(CN56:CN58)</f>
        <v>80000</v>
      </c>
      <c r="CO55" s="119">
        <f>SUM(CC55:CN55)</f>
        <v>960000</v>
      </c>
      <c r="CP55" s="120">
        <f>SUM(CP56:CP58)</f>
        <v>80000</v>
      </c>
      <c r="CQ55" s="117">
        <f t="shared" ref="CQ55" si="784">SUM(CQ56:CQ58)</f>
        <v>80000</v>
      </c>
      <c r="CR55" s="117">
        <f t="shared" ref="CR55" si="785">SUM(CR56:CR58)</f>
        <v>80000</v>
      </c>
      <c r="CS55" s="117">
        <f t="shared" ref="CS55" si="786">SUM(CS56:CS58)</f>
        <v>80000</v>
      </c>
      <c r="CT55" s="117">
        <f t="shared" ref="CT55" si="787">SUM(CT56:CT58)</f>
        <v>80000</v>
      </c>
      <c r="CU55" s="117">
        <f t="shared" ref="CU55" si="788">SUM(CU56:CU58)</f>
        <v>80000</v>
      </c>
      <c r="CV55" s="117">
        <f t="shared" ref="CV55" si="789">SUM(CV56:CV58)</f>
        <v>80000</v>
      </c>
      <c r="CW55" s="117">
        <f t="shared" ref="CW55" si="790">SUM(CW56:CW58)</f>
        <v>80000</v>
      </c>
      <c r="CX55" s="117">
        <f t="shared" ref="CX55" si="791">SUM(CX56:CX58)</f>
        <v>80000</v>
      </c>
      <c r="CY55" s="117">
        <f>SUM(CY56:CY58)</f>
        <v>80000</v>
      </c>
      <c r="CZ55" s="117">
        <f t="shared" ref="CZ55" si="792">SUM(CZ56:CZ58)</f>
        <v>80000</v>
      </c>
      <c r="DA55" s="118">
        <f t="shared" ref="DA55" si="793">SUM(DA56:DA58)</f>
        <v>80000</v>
      </c>
      <c r="DB55" s="119">
        <f>SUM(CP55:DA55)</f>
        <v>960000</v>
      </c>
      <c r="DC55" s="120">
        <f>SUM(DC56:DC58)</f>
        <v>80000</v>
      </c>
      <c r="DD55" s="117">
        <f t="shared" ref="DD55" si="794">SUM(DD56:DD58)</f>
        <v>80000</v>
      </c>
      <c r="DE55" s="117">
        <f t="shared" ref="DE55" si="795">SUM(DE56:DE58)</f>
        <v>80000</v>
      </c>
      <c r="DF55" s="117">
        <f t="shared" ref="DF55" si="796">SUM(DF56:DF58)</f>
        <v>80000</v>
      </c>
      <c r="DG55" s="117">
        <f t="shared" ref="DG55" si="797">SUM(DG56:DG58)</f>
        <v>80000</v>
      </c>
      <c r="DH55" s="117">
        <f t="shared" ref="DH55" si="798">SUM(DH56:DH58)</f>
        <v>80000</v>
      </c>
      <c r="DI55" s="117">
        <f t="shared" ref="DI55" si="799">SUM(DI56:DI58)</f>
        <v>80000</v>
      </c>
      <c r="DJ55" s="117">
        <f t="shared" ref="DJ55" si="800">SUM(DJ56:DJ58)</f>
        <v>80000</v>
      </c>
      <c r="DK55" s="117">
        <f t="shared" ref="DK55" si="801">SUM(DK56:DK58)</f>
        <v>80000</v>
      </c>
      <c r="DL55" s="117">
        <f>SUM(DL56:DL58)</f>
        <v>80000</v>
      </c>
      <c r="DM55" s="117">
        <f t="shared" ref="DM55" si="802">SUM(DM56:DM58)</f>
        <v>80000</v>
      </c>
      <c r="DN55" s="118">
        <f t="shared" ref="DN55" si="803">SUM(DN56:DN58)</f>
        <v>80000</v>
      </c>
      <c r="DO55" s="119">
        <f>SUM(DC55:DN55)</f>
        <v>960000</v>
      </c>
      <c r="DP55" s="120">
        <f>SUM(DP56:DP58)</f>
        <v>80000</v>
      </c>
      <c r="DQ55" s="117">
        <f t="shared" ref="DQ55" si="804">SUM(DQ56:DQ58)</f>
        <v>80000</v>
      </c>
      <c r="DR55" s="117">
        <f t="shared" ref="DR55" si="805">SUM(DR56:DR58)</f>
        <v>80000</v>
      </c>
      <c r="DS55" s="117">
        <f t="shared" ref="DS55" si="806">SUM(DS56:DS58)</f>
        <v>80000</v>
      </c>
      <c r="DT55" s="117">
        <f t="shared" ref="DT55" si="807">SUM(DT56:DT58)</f>
        <v>80000</v>
      </c>
      <c r="DU55" s="117">
        <f t="shared" ref="DU55" si="808">SUM(DU56:DU58)</f>
        <v>80000</v>
      </c>
      <c r="DV55" s="117">
        <f t="shared" ref="DV55" si="809">SUM(DV56:DV58)</f>
        <v>80000</v>
      </c>
      <c r="DW55" s="117">
        <f t="shared" ref="DW55" si="810">SUM(DW56:DW58)</f>
        <v>80000</v>
      </c>
      <c r="DX55" s="117">
        <f t="shared" ref="DX55" si="811">SUM(DX56:DX58)</f>
        <v>80000</v>
      </c>
      <c r="DY55" s="117">
        <f>SUM(DY56:DY58)</f>
        <v>80000</v>
      </c>
      <c r="DZ55" s="117">
        <f t="shared" ref="DZ55" si="812">SUM(DZ56:DZ58)</f>
        <v>80000</v>
      </c>
      <c r="EA55" s="118">
        <f t="shared" ref="EA55" si="813">SUM(EA56:EA58)</f>
        <v>80000</v>
      </c>
      <c r="EB55" s="121">
        <f>SUM(DP55:EA55)</f>
        <v>960000</v>
      </c>
    </row>
    <row r="56" spans="1:132" s="7" customFormat="1" ht="24" customHeight="1">
      <c r="A56" s="204"/>
      <c r="B56" s="176" t="s">
        <v>204</v>
      </c>
      <c r="C56" s="2"/>
      <c r="D56" s="2"/>
      <c r="E56" s="2">
        <f>投資概要!$L$25/12</f>
        <v>80000</v>
      </c>
      <c r="F56" s="2">
        <f>投資概要!$L$25/12</f>
        <v>80000</v>
      </c>
      <c r="G56" s="2">
        <f>投資概要!$L$25/12</f>
        <v>80000</v>
      </c>
      <c r="H56" s="2">
        <f>投資概要!$L$25/12</f>
        <v>80000</v>
      </c>
      <c r="I56" s="2">
        <f>投資概要!$L$25/12</f>
        <v>80000</v>
      </c>
      <c r="J56" s="2">
        <f>投資概要!$L$25/12</f>
        <v>80000</v>
      </c>
      <c r="K56" s="2">
        <f>投資概要!$L$25/12</f>
        <v>80000</v>
      </c>
      <c r="L56" s="2">
        <f>投資概要!$L$25/12</f>
        <v>80000</v>
      </c>
      <c r="M56" s="2">
        <f>投資概要!$L$25/12</f>
        <v>80000</v>
      </c>
      <c r="N56" s="3">
        <f>投資概要!$L$25/12</f>
        <v>80000</v>
      </c>
      <c r="O56" s="5">
        <f>SUM(C56:N56)</f>
        <v>800000</v>
      </c>
      <c r="P56" s="4">
        <f>投資概要!$L$26/12</f>
        <v>80000</v>
      </c>
      <c r="Q56" s="4">
        <f>投資概要!$L$26/12</f>
        <v>80000</v>
      </c>
      <c r="R56" s="4">
        <f>投資概要!$L$26/12</f>
        <v>80000</v>
      </c>
      <c r="S56" s="4">
        <f>投資概要!$L$26/12</f>
        <v>80000</v>
      </c>
      <c r="T56" s="4">
        <f>投資概要!$L$26/12</f>
        <v>80000</v>
      </c>
      <c r="U56" s="4">
        <f>投資概要!$L$26/12</f>
        <v>80000</v>
      </c>
      <c r="V56" s="4">
        <f>投資概要!$L$26/12</f>
        <v>80000</v>
      </c>
      <c r="W56" s="4">
        <f>投資概要!$L$26/12</f>
        <v>80000</v>
      </c>
      <c r="X56" s="4">
        <f>投資概要!$L$26/12</f>
        <v>80000</v>
      </c>
      <c r="Y56" s="4">
        <f>投資概要!$L$26/12</f>
        <v>80000</v>
      </c>
      <c r="Z56" s="4">
        <f>投資概要!$L$26/12</f>
        <v>80000</v>
      </c>
      <c r="AA56" s="205">
        <f>投資概要!$L$26/12</f>
        <v>80000</v>
      </c>
      <c r="AB56" s="5">
        <f>SUM(P56:AA56)</f>
        <v>960000</v>
      </c>
      <c r="AC56" s="4">
        <f>投資概要!$L$27/12</f>
        <v>80000</v>
      </c>
      <c r="AD56" s="4">
        <f>投資概要!$L$27/12</f>
        <v>80000</v>
      </c>
      <c r="AE56" s="4">
        <f>投資概要!$L$27/12</f>
        <v>80000</v>
      </c>
      <c r="AF56" s="4">
        <f>投資概要!$L$27/12</f>
        <v>80000</v>
      </c>
      <c r="AG56" s="4">
        <f>投資概要!$L$27/12</f>
        <v>80000</v>
      </c>
      <c r="AH56" s="4">
        <f>投資概要!$L$27/12</f>
        <v>80000</v>
      </c>
      <c r="AI56" s="4">
        <f>投資概要!$L$27/12</f>
        <v>80000</v>
      </c>
      <c r="AJ56" s="4">
        <f>投資概要!$L$27/12</f>
        <v>80000</v>
      </c>
      <c r="AK56" s="4">
        <f>投資概要!$L$27/12</f>
        <v>80000</v>
      </c>
      <c r="AL56" s="4">
        <f>投資概要!$L$27/12</f>
        <v>80000</v>
      </c>
      <c r="AM56" s="4">
        <f>投資概要!$L$27/12</f>
        <v>80000</v>
      </c>
      <c r="AN56" s="205">
        <f>投資概要!$L$27/12</f>
        <v>80000</v>
      </c>
      <c r="AO56" s="5">
        <f>SUM(AC56:AN56)</f>
        <v>960000</v>
      </c>
      <c r="AP56" s="4">
        <f>投資概要!$L$28/12</f>
        <v>80000</v>
      </c>
      <c r="AQ56" s="4">
        <f>投資概要!$L$28/12</f>
        <v>80000</v>
      </c>
      <c r="AR56" s="4">
        <f>投資概要!$L$28/12</f>
        <v>80000</v>
      </c>
      <c r="AS56" s="4">
        <f>投資概要!$L$28/12</f>
        <v>80000</v>
      </c>
      <c r="AT56" s="4">
        <f>投資概要!$L$28/12</f>
        <v>80000</v>
      </c>
      <c r="AU56" s="4">
        <f>投資概要!$L$28/12</f>
        <v>80000</v>
      </c>
      <c r="AV56" s="4">
        <f>投資概要!$L$28/12</f>
        <v>80000</v>
      </c>
      <c r="AW56" s="4">
        <f>投資概要!$L$28/12</f>
        <v>80000</v>
      </c>
      <c r="AX56" s="4">
        <f>投資概要!$L$28/12</f>
        <v>80000</v>
      </c>
      <c r="AY56" s="4">
        <f>投資概要!$L$28/12</f>
        <v>80000</v>
      </c>
      <c r="AZ56" s="4">
        <f>投資概要!$L$28/12</f>
        <v>80000</v>
      </c>
      <c r="BA56" s="205">
        <f>投資概要!$L$28/12</f>
        <v>80000</v>
      </c>
      <c r="BB56" s="5">
        <f>SUM(AP56:BA56)</f>
        <v>960000</v>
      </c>
      <c r="BC56" s="4">
        <f>投資概要!$L$29/12</f>
        <v>80000</v>
      </c>
      <c r="BD56" s="4">
        <f>投資概要!$L$29/12</f>
        <v>80000</v>
      </c>
      <c r="BE56" s="4">
        <f>投資概要!$L$29/12</f>
        <v>80000</v>
      </c>
      <c r="BF56" s="4">
        <f>投資概要!$L$29/12</f>
        <v>80000</v>
      </c>
      <c r="BG56" s="4">
        <f>投資概要!$L$29/12</f>
        <v>80000</v>
      </c>
      <c r="BH56" s="4">
        <f>投資概要!$L$29/12</f>
        <v>80000</v>
      </c>
      <c r="BI56" s="4">
        <f>投資概要!$L$29/12</f>
        <v>80000</v>
      </c>
      <c r="BJ56" s="4">
        <f>投資概要!$L$29/12</f>
        <v>80000</v>
      </c>
      <c r="BK56" s="4">
        <f>投資概要!$L$29/12</f>
        <v>80000</v>
      </c>
      <c r="BL56" s="4">
        <f>投資概要!$L$29/12</f>
        <v>80000</v>
      </c>
      <c r="BM56" s="4">
        <f>投資概要!$L$29/12</f>
        <v>80000</v>
      </c>
      <c r="BN56" s="205">
        <f>投資概要!$L$29/12</f>
        <v>80000</v>
      </c>
      <c r="BO56" s="5">
        <f>SUM(BC56:BN56)</f>
        <v>960000</v>
      </c>
      <c r="BP56" s="4">
        <f>投資概要!$L$30/12</f>
        <v>80000</v>
      </c>
      <c r="BQ56" s="4">
        <f>投資概要!$L$30/12</f>
        <v>80000</v>
      </c>
      <c r="BR56" s="4">
        <f>投資概要!$L$30/12</f>
        <v>80000</v>
      </c>
      <c r="BS56" s="4">
        <f>投資概要!$L$30/12</f>
        <v>80000</v>
      </c>
      <c r="BT56" s="4">
        <f>投資概要!$L$30/12</f>
        <v>80000</v>
      </c>
      <c r="BU56" s="4">
        <f>投資概要!$L$30/12</f>
        <v>80000</v>
      </c>
      <c r="BV56" s="4">
        <f>投資概要!$L$30/12</f>
        <v>80000</v>
      </c>
      <c r="BW56" s="4">
        <f>投資概要!$L$30/12</f>
        <v>80000</v>
      </c>
      <c r="BX56" s="4">
        <f>投資概要!$L$30/12</f>
        <v>80000</v>
      </c>
      <c r="BY56" s="4">
        <f>投資概要!$L$30/12</f>
        <v>80000</v>
      </c>
      <c r="BZ56" s="4">
        <f>投資概要!$L$30/12</f>
        <v>80000</v>
      </c>
      <c r="CA56" s="205">
        <f>投資概要!$L$30/12</f>
        <v>80000</v>
      </c>
      <c r="CB56" s="5">
        <f>SUM(BP56:CA56)</f>
        <v>960000</v>
      </c>
      <c r="CC56" s="4">
        <f>投資概要!$L$31/12</f>
        <v>80000</v>
      </c>
      <c r="CD56" s="4">
        <f>投資概要!$L$31/12</f>
        <v>80000</v>
      </c>
      <c r="CE56" s="4">
        <f>投資概要!$L$31/12</f>
        <v>80000</v>
      </c>
      <c r="CF56" s="4">
        <f>投資概要!$L$31/12</f>
        <v>80000</v>
      </c>
      <c r="CG56" s="4">
        <f>投資概要!$L$31/12</f>
        <v>80000</v>
      </c>
      <c r="CH56" s="4">
        <f>投資概要!$L$31/12</f>
        <v>80000</v>
      </c>
      <c r="CI56" s="4">
        <f>投資概要!$L$31/12</f>
        <v>80000</v>
      </c>
      <c r="CJ56" s="4">
        <f>投資概要!$L$31/12</f>
        <v>80000</v>
      </c>
      <c r="CK56" s="4">
        <f>投資概要!$L$31/12</f>
        <v>80000</v>
      </c>
      <c r="CL56" s="4">
        <f>投資概要!$L$31/12</f>
        <v>80000</v>
      </c>
      <c r="CM56" s="4">
        <f>投資概要!$L$31/12</f>
        <v>80000</v>
      </c>
      <c r="CN56" s="205">
        <f>投資概要!$L$31/12</f>
        <v>80000</v>
      </c>
      <c r="CO56" s="5">
        <f>SUM(CC56:CN56)</f>
        <v>960000</v>
      </c>
      <c r="CP56" s="4">
        <f>投資概要!$L$32/12</f>
        <v>80000</v>
      </c>
      <c r="CQ56" s="4">
        <f>投資概要!$L$32/12</f>
        <v>80000</v>
      </c>
      <c r="CR56" s="4">
        <f>投資概要!$L$32/12</f>
        <v>80000</v>
      </c>
      <c r="CS56" s="4">
        <f>投資概要!$L$32/12</f>
        <v>80000</v>
      </c>
      <c r="CT56" s="4">
        <f>投資概要!$L$32/12</f>
        <v>80000</v>
      </c>
      <c r="CU56" s="4">
        <f>投資概要!$L$32/12</f>
        <v>80000</v>
      </c>
      <c r="CV56" s="4">
        <f>投資概要!$L$32/12</f>
        <v>80000</v>
      </c>
      <c r="CW56" s="4">
        <f>投資概要!$L$32/12</f>
        <v>80000</v>
      </c>
      <c r="CX56" s="4">
        <f>投資概要!$L$32/12</f>
        <v>80000</v>
      </c>
      <c r="CY56" s="4">
        <f>投資概要!$L$32/12</f>
        <v>80000</v>
      </c>
      <c r="CZ56" s="4">
        <f>投資概要!$L$32/12</f>
        <v>80000</v>
      </c>
      <c r="DA56" s="205">
        <f>投資概要!$L$32/12</f>
        <v>80000</v>
      </c>
      <c r="DB56" s="5">
        <f>SUM(CP56:DA56)</f>
        <v>960000</v>
      </c>
      <c r="DC56" s="4">
        <f>投資概要!$L$33/12</f>
        <v>80000</v>
      </c>
      <c r="DD56" s="4">
        <f>投資概要!$L$33/12</f>
        <v>80000</v>
      </c>
      <c r="DE56" s="4">
        <f>投資概要!$L$33/12</f>
        <v>80000</v>
      </c>
      <c r="DF56" s="4">
        <f>投資概要!$L$33/12</f>
        <v>80000</v>
      </c>
      <c r="DG56" s="4">
        <f>投資概要!$L$33/12</f>
        <v>80000</v>
      </c>
      <c r="DH56" s="4">
        <f>投資概要!$L$33/12</f>
        <v>80000</v>
      </c>
      <c r="DI56" s="4">
        <f>投資概要!$L$33/12</f>
        <v>80000</v>
      </c>
      <c r="DJ56" s="4">
        <f>投資概要!$L$33/12</f>
        <v>80000</v>
      </c>
      <c r="DK56" s="4">
        <f>投資概要!$L$33/12</f>
        <v>80000</v>
      </c>
      <c r="DL56" s="4">
        <f>投資概要!$L$33/12</f>
        <v>80000</v>
      </c>
      <c r="DM56" s="4">
        <f>投資概要!$L$33/12</f>
        <v>80000</v>
      </c>
      <c r="DN56" s="205">
        <f>投資概要!$L$33/12</f>
        <v>80000</v>
      </c>
      <c r="DO56" s="5">
        <f>SUM(DC56:DN56)</f>
        <v>960000</v>
      </c>
      <c r="DP56" s="4">
        <f>投資概要!$L$34/12</f>
        <v>80000</v>
      </c>
      <c r="DQ56" s="4">
        <f>投資概要!$L$34/12</f>
        <v>80000</v>
      </c>
      <c r="DR56" s="4">
        <f>投資概要!$L$34/12</f>
        <v>80000</v>
      </c>
      <c r="DS56" s="4">
        <f>投資概要!$L$34/12</f>
        <v>80000</v>
      </c>
      <c r="DT56" s="4">
        <f>投資概要!$L$34/12</f>
        <v>80000</v>
      </c>
      <c r="DU56" s="4">
        <f>投資概要!$L$34/12</f>
        <v>80000</v>
      </c>
      <c r="DV56" s="4">
        <f>投資概要!$L$34/12</f>
        <v>80000</v>
      </c>
      <c r="DW56" s="4">
        <f>投資概要!$L$34/12</f>
        <v>80000</v>
      </c>
      <c r="DX56" s="4">
        <f>投資概要!$L$34/12</f>
        <v>80000</v>
      </c>
      <c r="DY56" s="4">
        <f>投資概要!$L$34/12</f>
        <v>80000</v>
      </c>
      <c r="DZ56" s="4">
        <f>投資概要!$L$34/12</f>
        <v>80000</v>
      </c>
      <c r="EA56" s="205">
        <f>投資概要!$L$34/12</f>
        <v>80000</v>
      </c>
      <c r="EB56" s="6">
        <f>SUM(DP56:EA56)</f>
        <v>960000</v>
      </c>
    </row>
    <row r="57" spans="1:132" s="7" customFormat="1" ht="24" customHeight="1">
      <c r="A57" s="204"/>
      <c r="B57" s="176" t="s">
        <v>205</v>
      </c>
      <c r="C57" s="2"/>
      <c r="D57" s="2"/>
      <c r="E57" s="2">
        <f>IF(E52&lt;&gt;0, 0, SUM(投資概要!$D$25:$D$27)/60)</f>
        <v>0</v>
      </c>
      <c r="F57" s="2">
        <f>IF(F52&lt;&gt;0, 0, SUM(投資概要!$D$25:$D$27)/60)</f>
        <v>0</v>
      </c>
      <c r="G57" s="2">
        <f>IF(G52&lt;&gt;0, 0, SUM(投資概要!$D$25:$D$27)/60)</f>
        <v>0</v>
      </c>
      <c r="H57" s="2">
        <f>IF(H52&lt;&gt;0, 0, SUM(投資概要!$D$25:$D$27)/60)</f>
        <v>0</v>
      </c>
      <c r="I57" s="2">
        <f>IF(I52&lt;&gt;0, 0, SUM(投資概要!$D$25:$D$27)/60)</f>
        <v>0</v>
      </c>
      <c r="J57" s="2">
        <f>IF(J52&lt;&gt;0, 0, SUM(投資概要!$D$25:$D$27)/60)</f>
        <v>0</v>
      </c>
      <c r="K57" s="2">
        <f>IF(K52&lt;&gt;0, 0, SUM(投資概要!$D$25:$D$27)/60)</f>
        <v>0</v>
      </c>
      <c r="L57" s="2">
        <f>IF(L52&lt;&gt;0, 0, SUM(投資概要!$D$25:$D$27)/60)</f>
        <v>0</v>
      </c>
      <c r="M57" s="2">
        <f>IF(M52&lt;&gt;0, 0, SUM(投資概要!$D$25:$D$27)/60)</f>
        <v>0</v>
      </c>
      <c r="N57" s="3">
        <f>IF(N52&lt;&gt;0, 0, SUM(投資概要!$D$25:$D$27)/60)</f>
        <v>0</v>
      </c>
      <c r="O57" s="5">
        <f t="shared" ref="O57:O59" si="814">SUM(C57:N57)</f>
        <v>0</v>
      </c>
      <c r="P57" s="2">
        <f>IF(P52&lt;&gt;0, 0, SUM(投資概要!$D$25:$D$27)/60)</f>
        <v>0</v>
      </c>
      <c r="Q57" s="2">
        <f>IF(Q52&lt;&gt;0, 0, SUM(投資概要!$D$25:$D$27)/60)</f>
        <v>0</v>
      </c>
      <c r="R57" s="2">
        <f>IF(R52&lt;&gt;0, 0, SUM(投資概要!$D$25:$D$27)/60)</f>
        <v>0</v>
      </c>
      <c r="S57" s="2">
        <f>IF(S52&lt;&gt;0, 0, SUM(投資概要!$D$25:$D$27)/60)</f>
        <v>0</v>
      </c>
      <c r="T57" s="2">
        <f>IF(T52&lt;&gt;0, 0, SUM(投資概要!$D$25:$D$27)/60)</f>
        <v>0</v>
      </c>
      <c r="U57" s="2">
        <f>IF(U52&lt;&gt;0, 0, SUM(投資概要!$D$25:$D$27)/60)</f>
        <v>0</v>
      </c>
      <c r="V57" s="2">
        <f>IF(V52&lt;&gt;0, 0, SUM(投資概要!$D$25:$D$27)/60)</f>
        <v>0</v>
      </c>
      <c r="W57" s="2">
        <f>IF(W52&lt;&gt;0, 0, SUM(投資概要!$D$25:$D$27)/60)</f>
        <v>0</v>
      </c>
      <c r="X57" s="2">
        <f>IF(X52&lt;&gt;0, 0, SUM(投資概要!$D$25:$D$27)/60)</f>
        <v>0</v>
      </c>
      <c r="Y57" s="2">
        <f>IF(Y52&lt;&gt;0, 0, SUM(投資概要!$D$25:$D$27)/60)</f>
        <v>0</v>
      </c>
      <c r="Z57" s="2">
        <f>IF(Z52&lt;&gt;0, 0, SUM(投資概要!$D$25:$D$27)/60)</f>
        <v>0</v>
      </c>
      <c r="AA57" s="2">
        <f>IF(AA52&lt;&gt;0, 0, SUM(投資概要!$D$25:$D$27)/60)</f>
        <v>0</v>
      </c>
      <c r="AB57" s="5">
        <f t="shared" ref="AB57" si="815">SUM(P57:AA57)</f>
        <v>0</v>
      </c>
      <c r="AC57" s="2">
        <f>IF(AC52&lt;&gt;0, 0, SUM(投資概要!$D$25:$D$27)/60)</f>
        <v>0</v>
      </c>
      <c r="AD57" s="2">
        <f>IF(AD52&lt;&gt;0, 0, SUM(投資概要!$D$25:$D$27)/60)</f>
        <v>0</v>
      </c>
      <c r="AE57" s="2">
        <f>IF(AE52&lt;&gt;0, 0, SUM(投資概要!$D$25:$D$27)/60)</f>
        <v>0</v>
      </c>
      <c r="AF57" s="2">
        <f>IF(AF52&lt;&gt;0, 0, SUM(投資概要!$D$25:$D$27)/60)</f>
        <v>0</v>
      </c>
      <c r="AG57" s="2">
        <f>IF(AG52&lt;&gt;0, 0, SUM(投資概要!$D$25:$D$27)/60)</f>
        <v>0</v>
      </c>
      <c r="AH57" s="2">
        <f>IF(AH52&lt;&gt;0, 0, SUM(投資概要!$D$25:$D$27)/60)</f>
        <v>0</v>
      </c>
      <c r="AI57" s="2">
        <f>IF(AI52&lt;&gt;0, 0, SUM(投資概要!$D$25:$D$27)/60)</f>
        <v>0</v>
      </c>
      <c r="AJ57" s="2">
        <f>IF(AJ52&lt;&gt;0, 0, SUM(投資概要!$D$25:$D$27)/60)</f>
        <v>0</v>
      </c>
      <c r="AK57" s="2">
        <f>IF(AK52&lt;&gt;0, 0, SUM(投資概要!$D$25:$D$27)/60)</f>
        <v>0</v>
      </c>
      <c r="AL57" s="2">
        <f>IF(AL52&lt;&gt;0, 0, SUM(投資概要!$D$25:$D$27)/60)</f>
        <v>0</v>
      </c>
      <c r="AM57" s="2">
        <f>IF(AM52&lt;&gt;0, 0, SUM(投資概要!$D$25:$D$27)/60)</f>
        <v>0</v>
      </c>
      <c r="AN57" s="2">
        <f>IF(AN52&lt;&gt;0, 0, SUM(投資概要!$D$25:$D$27)/60)</f>
        <v>0</v>
      </c>
      <c r="AO57" s="5">
        <f t="shared" ref="AO57" si="816">SUM(AC57:AN57)</f>
        <v>0</v>
      </c>
      <c r="AP57" s="2">
        <f>IF(AP52&lt;&gt;0, 0, SUM(投資概要!$D$25:$D$27)/60)</f>
        <v>0</v>
      </c>
      <c r="AQ57" s="2">
        <f>IF(AQ52&lt;&gt;0, 0, SUM(投資概要!$D$25:$D$27)/60)</f>
        <v>0</v>
      </c>
      <c r="AR57" s="2">
        <f>IF(AR52&lt;&gt;0, 0, SUM(投資概要!$D$25:$D$27)/60)</f>
        <v>0</v>
      </c>
      <c r="AS57" s="2">
        <f>IF(AS52&lt;&gt;0, 0, SUM(投資概要!$D$25:$D$27)/60)</f>
        <v>0</v>
      </c>
      <c r="AT57" s="2">
        <f>IF(AT52&lt;&gt;0, 0, SUM(投資概要!$D$25:$D$27)/60)</f>
        <v>0</v>
      </c>
      <c r="AU57" s="2">
        <f>IF(AU52&lt;&gt;0, 0, SUM(投資概要!$D$25:$D$27)/60)</f>
        <v>0</v>
      </c>
      <c r="AV57" s="2">
        <f>IF(AV52&lt;&gt;0, 0, SUM(投資概要!$D$25:$D$27)/60)</f>
        <v>0</v>
      </c>
      <c r="AW57" s="2">
        <f>IF(AW52&lt;&gt;0, 0, SUM(投資概要!$D$25:$D$27)/60)</f>
        <v>0</v>
      </c>
      <c r="AX57" s="2">
        <f>IF(AX52&lt;&gt;0, 0, SUM(投資概要!$D$25:$D$27)/60)</f>
        <v>0</v>
      </c>
      <c r="AY57" s="2">
        <f>IF(AY52&lt;&gt;0, 0, SUM(投資概要!$D$25:$D$27)/60)</f>
        <v>0</v>
      </c>
      <c r="AZ57" s="2">
        <f>IF(AZ52&lt;&gt;0, 0, SUM(投資概要!$D$25:$D$27)/60)</f>
        <v>0</v>
      </c>
      <c r="BA57" s="2">
        <f>IF(BA52&lt;&gt;0, 0, SUM(投資概要!$D$25:$D$27)/60)</f>
        <v>0</v>
      </c>
      <c r="BB57" s="5">
        <f t="shared" ref="BB57" si="817">SUM(AP57:BA57)</f>
        <v>0</v>
      </c>
      <c r="BC57" s="2">
        <f>IF(BC52&lt;&gt;0, 0, SUM(投資概要!$D$25:$D$27)/60)</f>
        <v>0</v>
      </c>
      <c r="BD57" s="2">
        <f>IF(BD52&lt;&gt;0, 0, SUM(投資概要!$D$25:$D$27)/60)</f>
        <v>0</v>
      </c>
      <c r="BE57" s="2">
        <f>IF(BE52&lt;&gt;0, 0, SUM(投資概要!$D$25:$D$27)/60)</f>
        <v>0</v>
      </c>
      <c r="BF57" s="2">
        <f>IF(BF52&lt;&gt;0, 0, SUM(投資概要!$D$25:$D$27)/60)</f>
        <v>0</v>
      </c>
      <c r="BG57" s="2">
        <f>IF(BG52&lt;&gt;0, 0, SUM(投資概要!$D$25:$D$27)/60)</f>
        <v>0</v>
      </c>
      <c r="BH57" s="2">
        <f>IF(BH52&lt;&gt;0, 0, SUM(投資概要!$D$25:$D$27)/60)</f>
        <v>0</v>
      </c>
      <c r="BI57" s="2">
        <f>IF(BI52&lt;&gt;0, 0, SUM(投資概要!$D$25:$D$27)/60)</f>
        <v>0</v>
      </c>
      <c r="BJ57" s="2">
        <f>IF(BJ52&lt;&gt;0, 0, SUM(投資概要!$D$25:$D$27)/60)</f>
        <v>0</v>
      </c>
      <c r="BK57" s="2">
        <f>IF(BK52&lt;&gt;0, 0, SUM(投資概要!$D$25:$D$27)/60)</f>
        <v>0</v>
      </c>
      <c r="BL57" s="2">
        <f>IF(BL52&lt;&gt;0, 0, SUM(投資概要!$D$25:$D$27)/60)</f>
        <v>0</v>
      </c>
      <c r="BM57" s="2">
        <f>IF(BM52&lt;&gt;0, 0, SUM(投資概要!$D$25:$D$27)/60)</f>
        <v>0</v>
      </c>
      <c r="BN57" s="2">
        <f>IF(BN52&lt;&gt;0, 0, SUM(投資概要!$D$25:$D$27)/60)</f>
        <v>0</v>
      </c>
      <c r="BO57" s="5">
        <f t="shared" ref="BO57" si="818">SUM(BC57:BN57)</f>
        <v>0</v>
      </c>
      <c r="BP57" s="2">
        <f>IF(BP52&lt;&gt;0, 0, SUM(投資概要!$D$25:$D$27)/60)</f>
        <v>0</v>
      </c>
      <c r="BQ57" s="2">
        <f>IF(BQ52&lt;&gt;0, 0, SUM(投資概要!$D$25:$D$27)/60)</f>
        <v>0</v>
      </c>
      <c r="BR57" s="2">
        <v>0</v>
      </c>
      <c r="BS57" s="2">
        <v>0</v>
      </c>
      <c r="BT57" s="2">
        <v>0</v>
      </c>
      <c r="BU57" s="2">
        <v>0</v>
      </c>
      <c r="BV57" s="2">
        <v>0</v>
      </c>
      <c r="BW57" s="2">
        <v>0</v>
      </c>
      <c r="BX57" s="2">
        <v>0</v>
      </c>
      <c r="BY57" s="2">
        <v>0</v>
      </c>
      <c r="BZ57" s="2">
        <v>0</v>
      </c>
      <c r="CA57" s="3">
        <v>0</v>
      </c>
      <c r="CB57" s="5">
        <f t="shared" ref="CB57" si="819">SUM(BP57:CA57)</f>
        <v>0</v>
      </c>
      <c r="CC57" s="4">
        <v>0</v>
      </c>
      <c r="CD57" s="2">
        <v>0</v>
      </c>
      <c r="CE57" s="2">
        <v>0</v>
      </c>
      <c r="CF57" s="2">
        <v>0</v>
      </c>
      <c r="CG57" s="2">
        <v>0</v>
      </c>
      <c r="CH57" s="2">
        <v>0</v>
      </c>
      <c r="CI57" s="2">
        <v>0</v>
      </c>
      <c r="CJ57" s="2">
        <v>0</v>
      </c>
      <c r="CK57" s="2">
        <v>0</v>
      </c>
      <c r="CL57" s="2">
        <v>0</v>
      </c>
      <c r="CM57" s="2">
        <v>0</v>
      </c>
      <c r="CN57" s="3">
        <v>0</v>
      </c>
      <c r="CO57" s="5"/>
      <c r="CP57" s="4">
        <v>0</v>
      </c>
      <c r="CQ57" s="2">
        <v>0</v>
      </c>
      <c r="CR57" s="2">
        <v>0</v>
      </c>
      <c r="CS57" s="2">
        <v>0</v>
      </c>
      <c r="CT57" s="2">
        <v>0</v>
      </c>
      <c r="CU57" s="2">
        <v>0</v>
      </c>
      <c r="CV57" s="2">
        <v>0</v>
      </c>
      <c r="CW57" s="2">
        <v>0</v>
      </c>
      <c r="CX57" s="2">
        <v>0</v>
      </c>
      <c r="CY57" s="2">
        <v>0</v>
      </c>
      <c r="CZ57" s="2">
        <v>0</v>
      </c>
      <c r="DA57" s="3">
        <v>0</v>
      </c>
      <c r="DB57" s="5"/>
      <c r="DC57" s="4">
        <v>0</v>
      </c>
      <c r="DD57" s="2">
        <v>0</v>
      </c>
      <c r="DE57" s="2">
        <v>0</v>
      </c>
      <c r="DF57" s="2">
        <v>0</v>
      </c>
      <c r="DG57" s="2">
        <v>0</v>
      </c>
      <c r="DH57" s="2">
        <v>0</v>
      </c>
      <c r="DI57" s="2">
        <v>0</v>
      </c>
      <c r="DJ57" s="2">
        <v>0</v>
      </c>
      <c r="DK57" s="2">
        <v>0</v>
      </c>
      <c r="DL57" s="2">
        <v>0</v>
      </c>
      <c r="DM57" s="2">
        <v>0</v>
      </c>
      <c r="DN57" s="3">
        <v>0</v>
      </c>
      <c r="DO57" s="5"/>
      <c r="DP57" s="4">
        <v>0</v>
      </c>
      <c r="DQ57" s="2">
        <v>0</v>
      </c>
      <c r="DR57" s="2">
        <v>0</v>
      </c>
      <c r="DS57" s="2">
        <v>0</v>
      </c>
      <c r="DT57" s="2">
        <v>0</v>
      </c>
      <c r="DU57" s="2">
        <v>0</v>
      </c>
      <c r="DV57" s="2">
        <v>0</v>
      </c>
      <c r="DW57" s="2">
        <v>0</v>
      </c>
      <c r="DX57" s="2">
        <v>0</v>
      </c>
      <c r="DY57" s="2">
        <v>0</v>
      </c>
      <c r="DZ57" s="2">
        <v>0</v>
      </c>
      <c r="EA57" s="3">
        <v>0</v>
      </c>
      <c r="EB57" s="6"/>
    </row>
    <row r="58" spans="1:132" s="7" customFormat="1" ht="24" customHeight="1">
      <c r="A58" s="204"/>
      <c r="B58" s="176" t="s">
        <v>206</v>
      </c>
      <c r="C58" s="2"/>
      <c r="D58" s="2"/>
      <c r="E58" s="2">
        <f>各種シミュレーション!$B$22/60</f>
        <v>50000</v>
      </c>
      <c r="F58" s="2">
        <f>各種シミュレーション!$B$22/60</f>
        <v>50000</v>
      </c>
      <c r="G58" s="2">
        <f>各種シミュレーション!$B$22/60</f>
        <v>50000</v>
      </c>
      <c r="H58" s="2">
        <f>各種シミュレーション!$B$22/60</f>
        <v>50000</v>
      </c>
      <c r="I58" s="2">
        <f>各種シミュレーション!$B$22/60</f>
        <v>50000</v>
      </c>
      <c r="J58" s="2">
        <f>各種シミュレーション!$B$22/60</f>
        <v>50000</v>
      </c>
      <c r="K58" s="2">
        <f>各種シミュレーション!$B$22/60</f>
        <v>50000</v>
      </c>
      <c r="L58" s="2">
        <f>各種シミュレーション!$B$22/60</f>
        <v>50000</v>
      </c>
      <c r="M58" s="2">
        <f>各種シミュレーション!$B$22/60</f>
        <v>50000</v>
      </c>
      <c r="N58" s="3">
        <f>各種シミュレーション!$B$22/60</f>
        <v>50000</v>
      </c>
      <c r="O58" s="5">
        <f t="shared" si="814"/>
        <v>500000</v>
      </c>
      <c r="P58" s="4">
        <f>各種シミュレーション!$B$22/60</f>
        <v>50000</v>
      </c>
      <c r="Q58" s="2">
        <f>各種シミュレーション!$B$22/60</f>
        <v>50000</v>
      </c>
      <c r="R58" s="2">
        <f>各種シミュレーション!$B$22/60</f>
        <v>50000</v>
      </c>
      <c r="S58" s="2">
        <f>各種シミュレーション!$B$22/60</f>
        <v>50000</v>
      </c>
      <c r="T58" s="2">
        <f>各種シミュレーション!$B$22/60</f>
        <v>50000</v>
      </c>
      <c r="U58" s="2">
        <f>各種シミュレーション!$B$22/60</f>
        <v>50000</v>
      </c>
      <c r="V58" s="2">
        <f>各種シミュレーション!$B$22/60</f>
        <v>50000</v>
      </c>
      <c r="W58" s="2">
        <f>各種シミュレーション!$B$22/60</f>
        <v>50000</v>
      </c>
      <c r="X58" s="2">
        <f>各種シミュレーション!$B$22/60</f>
        <v>50000</v>
      </c>
      <c r="Y58" s="2">
        <f>各種シミュレーション!$B$22/60</f>
        <v>50000</v>
      </c>
      <c r="Z58" s="2">
        <f>各種シミュレーション!$B$22/60</f>
        <v>50000</v>
      </c>
      <c r="AA58" s="3">
        <f>各種シミュレーション!$B$22/60</f>
        <v>50000</v>
      </c>
      <c r="AB58" s="5">
        <f t="shared" si="221"/>
        <v>600000</v>
      </c>
      <c r="AC58" s="4">
        <f>各種シミュレーション!$B$22/60</f>
        <v>50000</v>
      </c>
      <c r="AD58" s="2">
        <f>各種シミュレーション!$B$22/60</f>
        <v>50000</v>
      </c>
      <c r="AE58" s="2">
        <f>各種シミュレーション!$B$22/60</f>
        <v>50000</v>
      </c>
      <c r="AF58" s="2">
        <f>各種シミュレーション!$B$22/60</f>
        <v>50000</v>
      </c>
      <c r="AG58" s="2">
        <f>各種シミュレーション!$B$22/60</f>
        <v>50000</v>
      </c>
      <c r="AH58" s="2">
        <f>各種シミュレーション!$B$22/60</f>
        <v>50000</v>
      </c>
      <c r="AI58" s="2">
        <f>各種シミュレーション!$B$22/60</f>
        <v>50000</v>
      </c>
      <c r="AJ58" s="2">
        <f>各種シミュレーション!$B$22/60</f>
        <v>50000</v>
      </c>
      <c r="AK58" s="2">
        <f>各種シミュレーション!$B$22/60</f>
        <v>50000</v>
      </c>
      <c r="AL58" s="2">
        <f>各種シミュレーション!$B$22/60</f>
        <v>50000</v>
      </c>
      <c r="AM58" s="2">
        <f>各種シミュレーション!$B$22/60</f>
        <v>50000</v>
      </c>
      <c r="AN58" s="3">
        <f>各種シミュレーション!$B$22/60</f>
        <v>50000</v>
      </c>
      <c r="AO58" s="5">
        <f t="shared" si="222"/>
        <v>600000</v>
      </c>
      <c r="AP58" s="4">
        <f>各種シミュレーション!$B$22/60</f>
        <v>50000</v>
      </c>
      <c r="AQ58" s="2">
        <f>各種シミュレーション!$B$22/60</f>
        <v>50000</v>
      </c>
      <c r="AR58" s="2">
        <f>各種シミュレーション!$B$22/60</f>
        <v>50000</v>
      </c>
      <c r="AS58" s="2">
        <f>各種シミュレーション!$B$22/60</f>
        <v>50000</v>
      </c>
      <c r="AT58" s="2">
        <f>各種シミュレーション!$B$22/60</f>
        <v>50000</v>
      </c>
      <c r="AU58" s="2">
        <f>各種シミュレーション!$B$22/60</f>
        <v>50000</v>
      </c>
      <c r="AV58" s="2">
        <f>各種シミュレーション!$B$22/60</f>
        <v>50000</v>
      </c>
      <c r="AW58" s="2">
        <f>各種シミュレーション!$B$22/60</f>
        <v>50000</v>
      </c>
      <c r="AX58" s="2">
        <f>各種シミュレーション!$B$22/60</f>
        <v>50000</v>
      </c>
      <c r="AY58" s="2">
        <f>各種シミュレーション!$B$22/60</f>
        <v>50000</v>
      </c>
      <c r="AZ58" s="2">
        <f>各種シミュレーション!$B$22/60</f>
        <v>50000</v>
      </c>
      <c r="BA58" s="3">
        <f>各種シミュレーション!$B$22/60</f>
        <v>50000</v>
      </c>
      <c r="BB58" s="5">
        <f t="shared" si="154"/>
        <v>600000</v>
      </c>
      <c r="BC58" s="4">
        <f>各種シミュレーション!$B$22/60</f>
        <v>50000</v>
      </c>
      <c r="BD58" s="2">
        <f>各種シミュレーション!$B$22/60</f>
        <v>50000</v>
      </c>
      <c r="BE58" s="2">
        <f>各種シミュレーション!$B$22/60</f>
        <v>50000</v>
      </c>
      <c r="BF58" s="2">
        <f>各種シミュレーション!$B$22/60</f>
        <v>50000</v>
      </c>
      <c r="BG58" s="2">
        <f>各種シミュレーション!$B$22/60</f>
        <v>50000</v>
      </c>
      <c r="BH58" s="2">
        <f>各種シミュレーション!$B$22/60</f>
        <v>50000</v>
      </c>
      <c r="BI58" s="2">
        <f>各種シミュレーション!$B$22/60</f>
        <v>50000</v>
      </c>
      <c r="BJ58" s="2">
        <f>各種シミュレーション!$B$22/60</f>
        <v>50000</v>
      </c>
      <c r="BK58" s="2">
        <f>各種シミュレーション!$B$22/60</f>
        <v>50000</v>
      </c>
      <c r="BL58" s="2">
        <f>各種シミュレーション!$B$22/60</f>
        <v>50000</v>
      </c>
      <c r="BM58" s="2">
        <f>各種シミュレーション!$B$22/60</f>
        <v>50000</v>
      </c>
      <c r="BN58" s="3">
        <f>各種シミュレーション!$B$22/60</f>
        <v>50000</v>
      </c>
      <c r="BO58" s="5">
        <f t="shared" si="165"/>
        <v>600000</v>
      </c>
      <c r="BP58" s="4">
        <f>各種シミュレーション!$B$22/60</f>
        <v>50000</v>
      </c>
      <c r="BQ58" s="2">
        <f>各種シミュレーション!$B$22/60</f>
        <v>50000</v>
      </c>
      <c r="BR58" s="3">
        <v>0</v>
      </c>
      <c r="BS58" s="2">
        <v>0</v>
      </c>
      <c r="BT58" s="2">
        <v>0</v>
      </c>
      <c r="BU58" s="2">
        <v>0</v>
      </c>
      <c r="BV58" s="2">
        <v>0</v>
      </c>
      <c r="BW58" s="2">
        <v>0</v>
      </c>
      <c r="BX58" s="2">
        <v>0</v>
      </c>
      <c r="BY58" s="2">
        <v>0</v>
      </c>
      <c r="BZ58" s="2">
        <v>0</v>
      </c>
      <c r="CA58" s="3">
        <v>0</v>
      </c>
      <c r="CB58" s="5">
        <f t="shared" ref="CB58:CB59" si="820">SUM(BP58:CA58)</f>
        <v>100000</v>
      </c>
      <c r="CC58" s="4">
        <v>0</v>
      </c>
      <c r="CD58" s="2">
        <v>0</v>
      </c>
      <c r="CE58" s="2">
        <v>0</v>
      </c>
      <c r="CF58" s="2">
        <v>0</v>
      </c>
      <c r="CG58" s="2">
        <v>0</v>
      </c>
      <c r="CH58" s="2">
        <v>0</v>
      </c>
      <c r="CI58" s="2">
        <v>0</v>
      </c>
      <c r="CJ58" s="2">
        <v>0</v>
      </c>
      <c r="CK58" s="2">
        <v>0</v>
      </c>
      <c r="CL58" s="2">
        <v>0</v>
      </c>
      <c r="CM58" s="2">
        <v>0</v>
      </c>
      <c r="CN58" s="3">
        <v>0</v>
      </c>
      <c r="CO58" s="5">
        <f t="shared" si="187"/>
        <v>0</v>
      </c>
      <c r="CP58" s="4">
        <v>0</v>
      </c>
      <c r="CQ58" s="2">
        <v>0</v>
      </c>
      <c r="CR58" s="2">
        <v>0</v>
      </c>
      <c r="CS58" s="2">
        <v>0</v>
      </c>
      <c r="CT58" s="2">
        <v>0</v>
      </c>
      <c r="CU58" s="2">
        <v>0</v>
      </c>
      <c r="CV58" s="2">
        <v>0</v>
      </c>
      <c r="CW58" s="2">
        <v>0</v>
      </c>
      <c r="CX58" s="2">
        <v>0</v>
      </c>
      <c r="CY58" s="2">
        <v>0</v>
      </c>
      <c r="CZ58" s="2">
        <v>0</v>
      </c>
      <c r="DA58" s="3">
        <v>0</v>
      </c>
      <c r="DB58" s="5">
        <f t="shared" si="198"/>
        <v>0</v>
      </c>
      <c r="DC58" s="4">
        <v>0</v>
      </c>
      <c r="DD58" s="2">
        <v>0</v>
      </c>
      <c r="DE58" s="2">
        <v>0</v>
      </c>
      <c r="DF58" s="2">
        <v>0</v>
      </c>
      <c r="DG58" s="2">
        <v>0</v>
      </c>
      <c r="DH58" s="2">
        <v>0</v>
      </c>
      <c r="DI58" s="2">
        <v>0</v>
      </c>
      <c r="DJ58" s="2">
        <v>0</v>
      </c>
      <c r="DK58" s="2">
        <v>0</v>
      </c>
      <c r="DL58" s="2">
        <v>0</v>
      </c>
      <c r="DM58" s="2">
        <v>0</v>
      </c>
      <c r="DN58" s="3">
        <v>0</v>
      </c>
      <c r="DO58" s="5">
        <f t="shared" si="209"/>
        <v>0</v>
      </c>
      <c r="DP58" s="4">
        <v>0</v>
      </c>
      <c r="DQ58" s="2">
        <v>0</v>
      </c>
      <c r="DR58" s="2">
        <v>0</v>
      </c>
      <c r="DS58" s="2">
        <v>0</v>
      </c>
      <c r="DT58" s="2">
        <v>0</v>
      </c>
      <c r="DU58" s="2">
        <v>0</v>
      </c>
      <c r="DV58" s="2">
        <v>0</v>
      </c>
      <c r="DW58" s="2">
        <v>0</v>
      </c>
      <c r="DX58" s="2">
        <v>0</v>
      </c>
      <c r="DY58" s="2">
        <v>0</v>
      </c>
      <c r="DZ58" s="2">
        <v>0</v>
      </c>
      <c r="EA58" s="3">
        <v>0</v>
      </c>
      <c r="EB58" s="6">
        <f t="shared" si="220"/>
        <v>0</v>
      </c>
    </row>
    <row r="59" spans="1:132" s="338" customFormat="1" ht="36" customHeight="1">
      <c r="A59" s="365" t="s">
        <v>138</v>
      </c>
      <c r="B59" s="365"/>
      <c r="C59" s="334">
        <f t="shared" ref="C59:N59" si="821">(C53)-(C55)</f>
        <v>-240000</v>
      </c>
      <c r="D59" s="334">
        <f t="shared" si="821"/>
        <v>-644141.64</v>
      </c>
      <c r="E59" s="334">
        <f t="shared" si="821"/>
        <v>-3148563.2800000003</v>
      </c>
      <c r="F59" s="334">
        <f t="shared" si="821"/>
        <v>-3148563.2800000003</v>
      </c>
      <c r="G59" s="334">
        <f t="shared" si="821"/>
        <v>-324185.68000000017</v>
      </c>
      <c r="H59" s="334">
        <f t="shared" si="821"/>
        <v>-173107.28000000026</v>
      </c>
      <c r="I59" s="334">
        <f t="shared" si="821"/>
        <v>126663.08799999999</v>
      </c>
      <c r="J59" s="334">
        <f t="shared" si="821"/>
        <v>376341.16595199984</v>
      </c>
      <c r="K59" s="334">
        <f t="shared" si="821"/>
        <v>663017.76680652704</v>
      </c>
      <c r="L59" s="334">
        <f t="shared" si="821"/>
        <v>829867.88265599962</v>
      </c>
      <c r="M59" s="334">
        <f t="shared" si="821"/>
        <v>858674.82690678351</v>
      </c>
      <c r="N59" s="334">
        <f t="shared" si="821"/>
        <v>887995.23492216412</v>
      </c>
      <c r="O59" s="335">
        <f t="shared" si="814"/>
        <v>-3936001.1947565265</v>
      </c>
      <c r="P59" s="334">
        <f t="shared" ref="P59:AA59" si="822">(P53)-(P55)</f>
        <v>1265411.1573608234</v>
      </c>
      <c r="Q59" s="334">
        <f t="shared" si="822"/>
        <v>1628556.7353848647</v>
      </c>
      <c r="R59" s="334">
        <f t="shared" si="822"/>
        <v>1284917.029961776</v>
      </c>
      <c r="S59" s="334">
        <f t="shared" si="822"/>
        <v>1431365.9190135729</v>
      </c>
      <c r="T59" s="334">
        <f t="shared" si="822"/>
        <v>1561694.1870799353</v>
      </c>
      <c r="U59" s="334">
        <f t="shared" si="822"/>
        <v>1599759.7644579783</v>
      </c>
      <c r="V59" s="334">
        <f t="shared" si="822"/>
        <v>1903465.9113130332</v>
      </c>
      <c r="W59" s="334">
        <f t="shared" si="822"/>
        <v>1926738.76305445</v>
      </c>
      <c r="X59" s="334">
        <f t="shared" si="822"/>
        <v>2046462.5807214351</v>
      </c>
      <c r="Y59" s="334">
        <f t="shared" si="822"/>
        <v>2124945.1892947424</v>
      </c>
      <c r="Z59" s="334">
        <f t="shared" si="822"/>
        <v>2040896.0527108368</v>
      </c>
      <c r="AA59" s="334">
        <f t="shared" si="822"/>
        <v>2243097.2129005371</v>
      </c>
      <c r="AB59" s="336">
        <f t="shared" ref="AB59" si="823">SUM(P59:AA59)</f>
        <v>21057310.503253985</v>
      </c>
      <c r="AC59" s="334">
        <f t="shared" ref="AC59:AN59" si="824">(AC53)-(AC55)</f>
        <v>1933227.0443632165</v>
      </c>
      <c r="AD59" s="334">
        <f t="shared" si="824"/>
        <v>2471373.3933767779</v>
      </c>
      <c r="AE59" s="334">
        <f t="shared" si="824"/>
        <v>2447980.5885968376</v>
      </c>
      <c r="AF59" s="334">
        <f t="shared" si="824"/>
        <v>2723895.5883137546</v>
      </c>
      <c r="AG59" s="334">
        <f t="shared" si="824"/>
        <v>2602979.1605564104</v>
      </c>
      <c r="AH59" s="334">
        <f t="shared" si="824"/>
        <v>2723345.7969188215</v>
      </c>
      <c r="AI59" s="334">
        <f t="shared" si="824"/>
        <v>2746933.045399826</v>
      </c>
      <c r="AJ59" s="334">
        <f t="shared" si="824"/>
        <v>2759953.8489510324</v>
      </c>
      <c r="AK59" s="334">
        <f t="shared" si="824"/>
        <v>2752761.6537148459</v>
      </c>
      <c r="AL59" s="334">
        <f t="shared" si="824"/>
        <v>2793220.4228223963</v>
      </c>
      <c r="AM59" s="334">
        <f t="shared" si="824"/>
        <v>2738046.6307849679</v>
      </c>
      <c r="AN59" s="334">
        <f t="shared" si="824"/>
        <v>2750947.4287329223</v>
      </c>
      <c r="AO59" s="336">
        <f t="shared" ref="AO59" si="825">SUM(AC59:AN59)</f>
        <v>31444664.602531813</v>
      </c>
      <c r="AP59" s="334">
        <f t="shared" ref="AP59:BA59" si="826">(AP53)-(AP55)</f>
        <v>2627469.3353313562</v>
      </c>
      <c r="AQ59" s="334">
        <f t="shared" si="826"/>
        <v>2717518.2924939161</v>
      </c>
      <c r="AR59" s="334">
        <f t="shared" si="826"/>
        <v>2614067.4033373892</v>
      </c>
      <c r="AS59" s="334">
        <f t="shared" si="826"/>
        <v>2649332.4119916577</v>
      </c>
      <c r="AT59" s="334">
        <f t="shared" si="826"/>
        <v>2665552.4278057162</v>
      </c>
      <c r="AU59" s="334">
        <f t="shared" si="826"/>
        <v>2675129.3345866548</v>
      </c>
      <c r="AV59" s="334">
        <f t="shared" si="826"/>
        <v>2691575.2441686979</v>
      </c>
      <c r="AW59" s="334">
        <f t="shared" si="826"/>
        <v>2743889.1422642069</v>
      </c>
      <c r="AX59" s="334">
        <f t="shared" si="826"/>
        <v>2777981.4308661819</v>
      </c>
      <c r="AY59" s="334">
        <f t="shared" si="826"/>
        <v>2766689.1611098824</v>
      </c>
      <c r="AZ59" s="334">
        <f t="shared" si="826"/>
        <v>2767695.1277345661</v>
      </c>
      <c r="BA59" s="334">
        <f t="shared" si="826"/>
        <v>2759149.8026821371</v>
      </c>
      <c r="BB59" s="336">
        <f t="shared" ref="BB59" si="827">SUM(AP59:BA59)</f>
        <v>32456049.114372365</v>
      </c>
      <c r="BC59" s="334">
        <f t="shared" ref="BC59:BN59" si="828">(BC53)-(BC55)</f>
        <v>2830016.6510954169</v>
      </c>
      <c r="BD59" s="334">
        <f t="shared" si="828"/>
        <v>2835560.611510755</v>
      </c>
      <c r="BE59" s="334">
        <f t="shared" si="828"/>
        <v>2789917.2683706945</v>
      </c>
      <c r="BF59" s="334">
        <f t="shared" si="828"/>
        <v>2818029.1997108152</v>
      </c>
      <c r="BG59" s="334">
        <f t="shared" si="828"/>
        <v>2827360.8020713548</v>
      </c>
      <c r="BH59" s="334">
        <f t="shared" si="828"/>
        <v>2830304.1666965531</v>
      </c>
      <c r="BI59" s="334">
        <f t="shared" si="828"/>
        <v>2840361.9751826175</v>
      </c>
      <c r="BJ59" s="334">
        <f t="shared" si="828"/>
        <v>2886524.1319226972</v>
      </c>
      <c r="BK59" s="334">
        <f t="shared" si="828"/>
        <v>2914692.2935993942</v>
      </c>
      <c r="BL59" s="334">
        <f t="shared" si="828"/>
        <v>2897695.0896140551</v>
      </c>
      <c r="BM59" s="334">
        <f t="shared" si="828"/>
        <v>2893207.2045761719</v>
      </c>
      <c r="BN59" s="334">
        <f t="shared" si="828"/>
        <v>2879371.3003726914</v>
      </c>
      <c r="BO59" s="336">
        <f t="shared" ref="BO59" si="829">SUM(BC59:BN59)</f>
        <v>34243040.694723219</v>
      </c>
      <c r="BP59" s="334">
        <f t="shared" ref="BP59:CA59" si="830">(BP53)-(BP55)</f>
        <v>2944919.5082979347</v>
      </c>
      <c r="BQ59" s="334">
        <f t="shared" si="830"/>
        <v>2944907.1349389884</v>
      </c>
      <c r="BR59" s="334">
        <f t="shared" si="830"/>
        <v>3506139.006508776</v>
      </c>
      <c r="BS59" s="334">
        <f t="shared" si="830"/>
        <v>3529700.9696144806</v>
      </c>
      <c r="BT59" s="334">
        <f t="shared" si="830"/>
        <v>3534650.9525652751</v>
      </c>
      <c r="BU59" s="334">
        <f t="shared" si="830"/>
        <v>3533374.8176988885</v>
      </c>
      <c r="BV59" s="334">
        <f t="shared" si="830"/>
        <v>3539369.2481745593</v>
      </c>
      <c r="BW59" s="334">
        <f t="shared" si="830"/>
        <v>3581618.3718906292</v>
      </c>
      <c r="BX59" s="334">
        <f t="shared" si="830"/>
        <v>3606018.2827652064</v>
      </c>
      <c r="BY59" s="334">
        <f t="shared" si="830"/>
        <v>3585392.2532574213</v>
      </c>
      <c r="BZ59" s="334">
        <f t="shared" si="830"/>
        <v>3577409.8092414262</v>
      </c>
      <c r="CA59" s="334">
        <f t="shared" si="830"/>
        <v>3560208.6447420223</v>
      </c>
      <c r="CB59" s="336">
        <f t="shared" si="820"/>
        <v>41443708.999695607</v>
      </c>
      <c r="CC59" s="334">
        <f t="shared" ref="CC59:CN59" si="831">(CC53)-(CC55)</f>
        <v>3622012.0530504384</v>
      </c>
      <c r="CD59" s="334">
        <f t="shared" si="831"/>
        <v>3618465.376752696</v>
      </c>
      <c r="CE59" s="334">
        <f t="shared" si="831"/>
        <v>3565091.8812559023</v>
      </c>
      <c r="CF59" s="334">
        <f t="shared" si="831"/>
        <v>3585759.6758764894</v>
      </c>
      <c r="CG59" s="334">
        <f t="shared" si="831"/>
        <v>3587922.5745761162</v>
      </c>
      <c r="CH59" s="334">
        <f t="shared" si="831"/>
        <v>3583962.4775758553</v>
      </c>
      <c r="CI59" s="334">
        <f t="shared" si="831"/>
        <v>3587372.252516604</v>
      </c>
      <c r="CJ59" s="334">
        <f t="shared" si="831"/>
        <v>3627132.3529525464</v>
      </c>
      <c r="CK59" s="334">
        <f t="shared" si="831"/>
        <v>3649135.3344083568</v>
      </c>
      <c r="CL59" s="334">
        <f t="shared" si="831"/>
        <v>3626201.0618703035</v>
      </c>
      <c r="CM59" s="334">
        <f t="shared" si="831"/>
        <v>3615995.7798161581</v>
      </c>
      <c r="CN59" s="334">
        <f t="shared" si="831"/>
        <v>3596654.0222860165</v>
      </c>
      <c r="CO59" s="336">
        <f t="shared" ref="CO59" si="832">SUM(CC59:CN59)</f>
        <v>43265704.842937484</v>
      </c>
      <c r="CP59" s="334">
        <f t="shared" ref="CP59:DA59" si="833">(CP53)-(CP55)</f>
        <v>3655695.6437237966</v>
      </c>
      <c r="CQ59" s="334">
        <f t="shared" si="833"/>
        <v>3649900.8488337207</v>
      </c>
      <c r="CR59" s="334">
        <f t="shared" si="833"/>
        <v>3594615.6831444809</v>
      </c>
      <c r="CS59" s="334">
        <f t="shared" si="833"/>
        <v>3613442.5393697452</v>
      </c>
      <c r="CT59" s="334">
        <f t="shared" si="833"/>
        <v>3613832.6143946736</v>
      </c>
      <c r="CU59" s="334">
        <f t="shared" si="833"/>
        <v>3608165.2881956799</v>
      </c>
      <c r="CV59" s="334">
        <f t="shared" si="833"/>
        <v>3609931.0014180476</v>
      </c>
      <c r="CW59" s="334">
        <f t="shared" si="833"/>
        <v>3648107.8704191889</v>
      </c>
      <c r="CX59" s="334">
        <f t="shared" si="833"/>
        <v>3668586.2000032859</v>
      </c>
      <c r="CY59" s="334">
        <f t="shared" si="833"/>
        <v>3644183.6877127737</v>
      </c>
      <c r="CZ59" s="334">
        <f t="shared" si="833"/>
        <v>3632564.4907770101</v>
      </c>
      <c r="DA59" s="334">
        <f t="shared" si="833"/>
        <v>3611861.1332158684</v>
      </c>
      <c r="DB59" s="336">
        <f t="shared" ref="DB59" si="834">SUM(CP59:DA59)</f>
        <v>43550887.001208268</v>
      </c>
      <c r="DC59" s="334">
        <f t="shared" ref="DC59:DN59" si="835">(DC53)-(DC55)</f>
        <v>3668747.2591445097</v>
      </c>
      <c r="DD59" s="334">
        <f t="shared" si="835"/>
        <v>3661522.4687807248</v>
      </c>
      <c r="DE59" s="334">
        <f t="shared" si="835"/>
        <v>3605021.3175417278</v>
      </c>
      <c r="DF59" s="334">
        <f t="shared" si="835"/>
        <v>3622677.1796825733</v>
      </c>
      <c r="DG59" s="334">
        <f t="shared" si="835"/>
        <v>3621939.5874042078</v>
      </c>
      <c r="DH59" s="334">
        <f t="shared" si="835"/>
        <v>3615186.3175921412</v>
      </c>
      <c r="DI59" s="334">
        <f t="shared" si="835"/>
        <v>3615906.2671151208</v>
      </c>
      <c r="DJ59" s="334">
        <f t="shared" si="835"/>
        <v>3653076.0656737518</v>
      </c>
      <c r="DK59" s="334">
        <f t="shared" si="835"/>
        <v>3672584.5864217123</v>
      </c>
      <c r="DL59" s="334">
        <f t="shared" si="835"/>
        <v>3647248.1482219966</v>
      </c>
      <c r="DM59" s="334">
        <f t="shared" si="835"/>
        <v>3634729.5806356706</v>
      </c>
      <c r="DN59" s="334">
        <f t="shared" si="835"/>
        <v>3613160.1291380408</v>
      </c>
      <c r="DO59" s="336">
        <f t="shared" ref="DO59" si="836">SUM(DC59:DN59)</f>
        <v>43631798.907352179</v>
      </c>
      <c r="DP59" s="334">
        <f t="shared" ref="DP59:EA59" si="837">(DP53)-(DP55)</f>
        <v>3668256.4745003534</v>
      </c>
      <c r="DQ59" s="334">
        <f t="shared" si="837"/>
        <v>3660122.0848557297</v>
      </c>
      <c r="DR59" s="334">
        <f t="shared" si="837"/>
        <v>3602847.4629296502</v>
      </c>
      <c r="DS59" s="334">
        <f t="shared" si="837"/>
        <v>3619758.4727988373</v>
      </c>
      <c r="DT59" s="334">
        <f t="shared" si="837"/>
        <v>3618303.5877828635</v>
      </c>
      <c r="DU59" s="334">
        <f t="shared" si="837"/>
        <v>3610859.5650644819</v>
      </c>
      <c r="DV59" s="334">
        <f t="shared" si="837"/>
        <v>3610914.3195386799</v>
      </c>
      <c r="DW59" s="334">
        <f t="shared" si="837"/>
        <v>3647443.5352653307</v>
      </c>
      <c r="DX59" s="334">
        <f t="shared" si="837"/>
        <v>3666335.1747460975</v>
      </c>
      <c r="DY59" s="334">
        <f t="shared" si="837"/>
        <v>3640404.6798860743</v>
      </c>
      <c r="DZ59" s="334">
        <f t="shared" si="837"/>
        <v>3627314.035735873</v>
      </c>
      <c r="EA59" s="334">
        <f t="shared" si="837"/>
        <v>3605193.6745072287</v>
      </c>
      <c r="EB59" s="337">
        <f t="shared" ref="EB59" si="838">SUM(DP59:EA59)</f>
        <v>43577753.067611203</v>
      </c>
    </row>
    <row r="60" spans="1:132" s="338" customFormat="1" ht="36" customHeight="1">
      <c r="A60" s="368" t="s">
        <v>178</v>
      </c>
      <c r="B60" s="368"/>
      <c r="C60" s="113"/>
      <c r="D60" s="113"/>
      <c r="E60" s="113"/>
      <c r="F60" s="113"/>
      <c r="G60" s="113">
        <f t="shared" ref="G60:N60" si="839">G59/G13</f>
        <v>-0.10100752760537407</v>
      </c>
      <c r="H60" s="113">
        <f t="shared" si="839"/>
        <v>-5.1196995149651085E-2</v>
      </c>
      <c r="I60" s="113">
        <f t="shared" si="839"/>
        <v>3.3755277697947249E-2</v>
      </c>
      <c r="J60" s="113">
        <f t="shared" si="839"/>
        <v>9.2196713937695268E-2</v>
      </c>
      <c r="K60" s="113">
        <f t="shared" si="839"/>
        <v>0.1488748638581727</v>
      </c>
      <c r="L60" s="113">
        <f t="shared" si="839"/>
        <v>0.17873041249532992</v>
      </c>
      <c r="M60" s="113">
        <f t="shared" si="839"/>
        <v>0.18244806237846814</v>
      </c>
      <c r="N60" s="113">
        <f t="shared" si="839"/>
        <v>0.18518846968272384</v>
      </c>
      <c r="O60" s="114">
        <f>AVERAGE(G60:N60)</f>
        <v>8.3623659661913999E-2</v>
      </c>
      <c r="P60" s="113">
        <f t="shared" ref="P60:AA60" si="840">P59/P13</f>
        <v>0.25520090138853641</v>
      </c>
      <c r="Q60" s="113">
        <f t="shared" si="840"/>
        <v>0.32375286918499474</v>
      </c>
      <c r="R60" s="113">
        <f t="shared" si="840"/>
        <v>0.27693688409711903</v>
      </c>
      <c r="S60" s="113">
        <f t="shared" si="840"/>
        <v>0.27809306989383548</v>
      </c>
      <c r="T60" s="113">
        <f t="shared" si="840"/>
        <v>0.31522209026441367</v>
      </c>
      <c r="U60" s="113">
        <f t="shared" si="840"/>
        <v>0.3201105571630054</v>
      </c>
      <c r="V60" s="113">
        <f t="shared" si="840"/>
        <v>0.35627793389266599</v>
      </c>
      <c r="W60" s="113">
        <f t="shared" si="840"/>
        <v>0.35885762165189683</v>
      </c>
      <c r="X60" s="113">
        <f t="shared" si="840"/>
        <v>0.37173673444908722</v>
      </c>
      <c r="Y60" s="113">
        <f t="shared" si="840"/>
        <v>0.37983947331084428</v>
      </c>
      <c r="Z60" s="113">
        <f t="shared" si="840"/>
        <v>0.37115205015594938</v>
      </c>
      <c r="AA60" s="113">
        <f t="shared" si="840"/>
        <v>0.40187438313428098</v>
      </c>
      <c r="AB60" s="115">
        <f>AVERAGE(P60:AA60)</f>
        <v>0.33408788071555245</v>
      </c>
      <c r="AC60" s="113">
        <f t="shared" ref="AC60:AN60" si="841">AC59/AC13</f>
        <v>0.33707013208203207</v>
      </c>
      <c r="AD60" s="113">
        <f t="shared" si="841"/>
        <v>0.42766697441978796</v>
      </c>
      <c r="AE60" s="113">
        <f t="shared" si="841"/>
        <v>0.42557658270670928</v>
      </c>
      <c r="AF60" s="113">
        <f t="shared" si="841"/>
        <v>0.44906604663756589</v>
      </c>
      <c r="AG60" s="113">
        <f t="shared" si="841"/>
        <v>0.43907791512678929</v>
      </c>
      <c r="AH60" s="113">
        <f t="shared" si="841"/>
        <v>0.44902165609251682</v>
      </c>
      <c r="AI60" s="113">
        <f t="shared" si="841"/>
        <v>0.45091792306979511</v>
      </c>
      <c r="AJ60" s="113">
        <f t="shared" si="841"/>
        <v>0.45195758309594125</v>
      </c>
      <c r="AK60" s="113">
        <f t="shared" si="841"/>
        <v>0.45138393825121786</v>
      </c>
      <c r="AL60" s="113">
        <f t="shared" si="841"/>
        <v>0.45459105011062434</v>
      </c>
      <c r="AM60" s="113">
        <f t="shared" si="841"/>
        <v>0.45020547337504097</v>
      </c>
      <c r="AN60" s="113">
        <f t="shared" si="841"/>
        <v>0.4547038176599234</v>
      </c>
      <c r="AO60" s="115">
        <f>AVERAGE(AC60:AN60)</f>
        <v>0.43676992438566203</v>
      </c>
      <c r="AP60" s="113">
        <f t="shared" ref="AP60:BA60" si="842">AP59/AP13</f>
        <v>0.43974168143150166</v>
      </c>
      <c r="AQ60" s="113">
        <f t="shared" si="842"/>
        <v>0.44715459277005692</v>
      </c>
      <c r="AR60" s="113">
        <f t="shared" si="842"/>
        <v>0.43861666037621161</v>
      </c>
      <c r="AS60" s="113">
        <f t="shared" si="842"/>
        <v>0.44156471255434943</v>
      </c>
      <c r="AT60" s="113">
        <f t="shared" si="842"/>
        <v>0.44290747716110235</v>
      </c>
      <c r="AU60" s="113">
        <f t="shared" si="842"/>
        <v>0.44369644105152095</v>
      </c>
      <c r="AV60" s="113">
        <f t="shared" si="842"/>
        <v>0.44504466194363479</v>
      </c>
      <c r="AW60" s="113">
        <f t="shared" si="842"/>
        <v>0.44927844004346168</v>
      </c>
      <c r="AX60" s="113">
        <f t="shared" si="842"/>
        <v>0.4519934592549199</v>
      </c>
      <c r="AY60" s="113">
        <f t="shared" si="842"/>
        <v>0.45109797184589584</v>
      </c>
      <c r="AZ60" s="113">
        <f t="shared" si="842"/>
        <v>0.4511778979358112</v>
      </c>
      <c r="BA60" s="113">
        <f t="shared" si="842"/>
        <v>0.45384603866287954</v>
      </c>
      <c r="BB60" s="115">
        <f>AVERAGE(AP60:BA60)</f>
        <v>0.44634333625261213</v>
      </c>
      <c r="BC60" s="113">
        <f t="shared" ref="BC60:BN60" si="843">BC59/BC13</f>
        <v>0.45461704433630568</v>
      </c>
      <c r="BD60" s="113">
        <f t="shared" si="843"/>
        <v>0.4550471101869174</v>
      </c>
      <c r="BE60" s="113">
        <f t="shared" si="843"/>
        <v>0.45148027520269918</v>
      </c>
      <c r="BF60" s="113">
        <f t="shared" si="843"/>
        <v>0.45368415014384611</v>
      </c>
      <c r="BG60" s="113">
        <f t="shared" si="843"/>
        <v>0.45441071160691737</v>
      </c>
      <c r="BH60" s="113">
        <f t="shared" si="843"/>
        <v>0.45463936940262012</v>
      </c>
      <c r="BI60" s="113">
        <f t="shared" si="843"/>
        <v>0.45541886795010811</v>
      </c>
      <c r="BJ60" s="113">
        <f t="shared" si="843"/>
        <v>0.45896017775792181</v>
      </c>
      <c r="BK60" s="113">
        <f t="shared" si="843"/>
        <v>0.46109221153141472</v>
      </c>
      <c r="BL60" s="113">
        <f t="shared" si="843"/>
        <v>0.45980829330363177</v>
      </c>
      <c r="BM60" s="113">
        <f t="shared" si="843"/>
        <v>0.45946797740504453</v>
      </c>
      <c r="BN60" s="113">
        <f t="shared" si="843"/>
        <v>0.46173671163068275</v>
      </c>
      <c r="BO60" s="115">
        <f>AVERAGE(BC60:BN60)</f>
        <v>0.45669690837150917</v>
      </c>
      <c r="BP60" s="113">
        <f t="shared" ref="BP60:CA60" si="844">BP59/BP13</f>
        <v>0.46184091469346072</v>
      </c>
      <c r="BQ60" s="113">
        <f t="shared" si="844"/>
        <v>0.46183999261811504</v>
      </c>
      <c r="BR60" s="113">
        <f t="shared" si="844"/>
        <v>0.55483644994556514</v>
      </c>
      <c r="BS60" s="113">
        <f t="shared" si="844"/>
        <v>0.55620837461418715</v>
      </c>
      <c r="BT60" s="113">
        <f t="shared" si="844"/>
        <v>0.55649512332372797</v>
      </c>
      <c r="BU60" s="113">
        <f t="shared" si="844"/>
        <v>0.55642124641248747</v>
      </c>
      <c r="BV60" s="113">
        <f t="shared" si="844"/>
        <v>0.55676797817674484</v>
      </c>
      <c r="BW60" s="113">
        <f t="shared" si="844"/>
        <v>0.55919084843313516</v>
      </c>
      <c r="BX60" s="113">
        <f t="shared" si="844"/>
        <v>0.56057364109140517</v>
      </c>
      <c r="BY60" s="113">
        <f t="shared" si="844"/>
        <v>0.55940550411064049</v>
      </c>
      <c r="BZ60" s="113">
        <f t="shared" si="844"/>
        <v>0.55895112912401235</v>
      </c>
      <c r="CA60" s="113">
        <f t="shared" si="844"/>
        <v>0.56194678616060811</v>
      </c>
      <c r="CB60" s="115">
        <f>AVERAGE(BP60:CA60)</f>
        <v>0.54203983239200748</v>
      </c>
      <c r="CC60" s="113">
        <f t="shared" ref="CC60:CN60" si="845">CC59/CC13</f>
        <v>0.55957431187293272</v>
      </c>
      <c r="CD60" s="113">
        <f t="shared" si="845"/>
        <v>0.55937467324168888</v>
      </c>
      <c r="CE60" s="113">
        <f t="shared" si="845"/>
        <v>0.55634001096074726</v>
      </c>
      <c r="CF60" s="113">
        <f t="shared" si="845"/>
        <v>0.55752191234787896</v>
      </c>
      <c r="CG60" s="113">
        <f t="shared" si="845"/>
        <v>0.55764510038782689</v>
      </c>
      <c r="CH60" s="113">
        <f t="shared" si="845"/>
        <v>0.55741948115617634</v>
      </c>
      <c r="CI60" s="113">
        <f t="shared" si="845"/>
        <v>0.55761376568594956</v>
      </c>
      <c r="CJ60" s="113">
        <f t="shared" si="845"/>
        <v>0.55986208995261622</v>
      </c>
      <c r="CK60" s="113">
        <f t="shared" si="845"/>
        <v>0.56109287084826731</v>
      </c>
      <c r="CL60" s="113">
        <f t="shared" si="845"/>
        <v>0.55980978672577231</v>
      </c>
      <c r="CM60" s="113">
        <f t="shared" si="845"/>
        <v>0.55923551527962123</v>
      </c>
      <c r="CN60" s="113">
        <f t="shared" si="845"/>
        <v>0.56208247168135805</v>
      </c>
      <c r="CO60" s="115">
        <f>AVERAGE(CC60:CN60)</f>
        <v>0.55896433251173627</v>
      </c>
      <c r="CP60" s="113">
        <f t="shared" ref="CP60:DA60" si="846">CP59/CP13</f>
        <v>0.55948251632344148</v>
      </c>
      <c r="CQ60" s="113">
        <f t="shared" si="846"/>
        <v>0.55915917477832244</v>
      </c>
      <c r="CR60" s="113">
        <f t="shared" si="846"/>
        <v>0.55604121800978701</v>
      </c>
      <c r="CS60" s="113">
        <f t="shared" si="846"/>
        <v>0.55710979183053833</v>
      </c>
      <c r="CT60" s="113">
        <f t="shared" si="846"/>
        <v>0.55713185715445035</v>
      </c>
      <c r="CU60" s="113">
        <f t="shared" si="846"/>
        <v>0.55681097756111153</v>
      </c>
      <c r="CV60" s="113">
        <f t="shared" si="846"/>
        <v>0.55691101924843034</v>
      </c>
      <c r="CW60" s="113">
        <f t="shared" si="846"/>
        <v>0.55905899686454485</v>
      </c>
      <c r="CX60" s="113">
        <f t="shared" si="846"/>
        <v>0.56019945938982529</v>
      </c>
      <c r="CY60" s="113">
        <f t="shared" si="846"/>
        <v>0.55883952512380708</v>
      </c>
      <c r="CZ60" s="113">
        <f t="shared" si="846"/>
        <v>0.55818792278521279</v>
      </c>
      <c r="DA60" s="113">
        <f t="shared" si="846"/>
        <v>0.56092881762689395</v>
      </c>
      <c r="DB60" s="115">
        <f>AVERAGE(CP60:DA60)</f>
        <v>0.55832177305803055</v>
      </c>
      <c r="DC60" s="113">
        <f t="shared" ref="DC60:DN60" si="847">DC59/DC13</f>
        <v>0.55815102049400123</v>
      </c>
      <c r="DD60" s="113">
        <f t="shared" si="847"/>
        <v>0.5577485153511883</v>
      </c>
      <c r="DE60" s="113">
        <f t="shared" si="847"/>
        <v>0.55456567613364893</v>
      </c>
      <c r="DF60" s="113">
        <f t="shared" si="847"/>
        <v>0.55556700427721739</v>
      </c>
      <c r="DG60" s="113">
        <f t="shared" si="847"/>
        <v>0.55552529608719792</v>
      </c>
      <c r="DH60" s="113">
        <f t="shared" si="847"/>
        <v>0.55514292380974917</v>
      </c>
      <c r="DI60" s="113">
        <f t="shared" si="847"/>
        <v>0.55518373049085368</v>
      </c>
      <c r="DJ60" s="113">
        <f t="shared" si="847"/>
        <v>0.55727667377200318</v>
      </c>
      <c r="DK60" s="113">
        <f t="shared" si="847"/>
        <v>0.55836439582880337</v>
      </c>
      <c r="DL60" s="113">
        <f t="shared" si="847"/>
        <v>0.55695030228656517</v>
      </c>
      <c r="DM60" s="113">
        <f t="shared" si="847"/>
        <v>0.55624700832594554</v>
      </c>
      <c r="DN60" s="113">
        <f t="shared" si="847"/>
        <v>0.55890712524898678</v>
      </c>
      <c r="DO60" s="115">
        <f>AVERAGE(DC60:DN60)</f>
        <v>0.55663580600884666</v>
      </c>
      <c r="DP60" s="113">
        <f t="shared" ref="DP60:EA60" si="848">DP59/DP13</f>
        <v>0.55597958970245076</v>
      </c>
      <c r="DQ60" s="113">
        <f t="shared" si="848"/>
        <v>0.55552499674754241</v>
      </c>
      <c r="DR60" s="113">
        <f t="shared" si="848"/>
        <v>0.55228771638347529</v>
      </c>
      <c r="DS60" s="113">
        <f t="shared" si="848"/>
        <v>0.5532502626783341</v>
      </c>
      <c r="DT60" s="113">
        <f t="shared" si="848"/>
        <v>0.55316767542223999</v>
      </c>
      <c r="DU60" s="113">
        <f t="shared" si="848"/>
        <v>0.55274445772556502</v>
      </c>
      <c r="DV60" s="113">
        <f t="shared" si="848"/>
        <v>0.55274757470267644</v>
      </c>
      <c r="DW60" s="113">
        <f t="shared" si="848"/>
        <v>0.55481390292650468</v>
      </c>
      <c r="DX60" s="113">
        <f t="shared" si="848"/>
        <v>0.55587233219125665</v>
      </c>
      <c r="DY60" s="113">
        <f t="shared" si="848"/>
        <v>0.55441777193689479</v>
      </c>
      <c r="DZ60" s="113">
        <f t="shared" si="848"/>
        <v>0.55367848755805305</v>
      </c>
      <c r="EA60" s="113">
        <f t="shared" si="848"/>
        <v>0.55627277518177332</v>
      </c>
      <c r="EB60" s="116">
        <f>AVERAGE(DP60:EA60)</f>
        <v>0.55422979526306382</v>
      </c>
    </row>
    <row r="61" spans="1:132" s="95" customFormat="1" ht="36" customHeight="1">
      <c r="A61" s="385" t="s">
        <v>151</v>
      </c>
      <c r="B61" s="385"/>
      <c r="C61" s="122">
        <f>IF(C2&lt;=6,
    投資概要!$K$9 * 投資概要!$K$10 / 12,
    IF(C2&gt;投資概要!$K$11+6, 0,
        IPMT(投資概要!$K$10 / 12, C2 - 6, 投資概要!$K$11, -投資概要!$K$9)
    )
)</f>
        <v>26304.683333333334</v>
      </c>
      <c r="D61" s="122">
        <f>IF(D2&lt;=6,
    投資概要!$K$9 * 投資概要!$K$10 / 12,
    IF(D2&gt;投資概要!$K$11+6, 0,
        IPMT(投資概要!$K$10 / 12, D2 - 6, 投資概要!$K$11, -投資概要!$K$9)
    )
)</f>
        <v>26304.683333333334</v>
      </c>
      <c r="E61" s="122">
        <f>IF(E2&lt;=6,
    投資概要!$K$9 * 投資概要!$K$10 / 12,
    IF(E2&gt;投資概要!$K$11+6, 0,
        IPMT(投資概要!$K$10 / 12, E2 - 6, 投資概要!$K$11, -投資概要!$K$9)
    )
)</f>
        <v>26304.683333333334</v>
      </c>
      <c r="F61" s="122">
        <f>IF(F2&lt;=6,
    投資概要!$K$9 * 投資概要!$K$10 / 12,
    IF(F2&gt;投資概要!$K$11+6, 0,
        IPMT(投資概要!$K$10 / 12, F2 - 6, 投資概要!$K$11, -投資概要!$K$9)
    )
)</f>
        <v>26304.683333333334</v>
      </c>
      <c r="G61" s="122">
        <f>IF(G2&lt;=6,
    投資概要!$K$9 * 投資概要!$K$10 / 12,
    IF(G2&gt;投資概要!$K$11+6, 0,
        IPMT(投資概要!$K$10 / 12, G2 - 6, 投資概要!$K$11, -投資概要!$K$9)
    )
)</f>
        <v>26304.683333333334</v>
      </c>
      <c r="H61" s="122">
        <f>IF(H2&lt;=6,
    投資概要!$K$9 * 投資概要!$K$10 / 12,
    IF(H2&gt;投資概要!$K$11+6, 0,
        IPMT(投資概要!$K$10 / 12, H2 - 6, 投資概要!$K$11, -投資概要!$K$9)
    )
)</f>
        <v>26304.683333333334</v>
      </c>
      <c r="I61" s="122">
        <f>IF(I2&lt;=6,
    投資概要!$K$9 * 投資概要!$K$10 / 12,
    IF(I2&gt;投資概要!$K$11+6, 0,
        IPMT(投資概要!$K$10 / 12, I2 - 6, 投資概要!$K$11, -投資概要!$K$9)
    )
)</f>
        <v>26304.683333333331</v>
      </c>
      <c r="J61" s="122">
        <f>IF(J2&lt;=6,
    投資概要!$K$9 * 投資概要!$K$10 / 12,
    IF(J2&gt;投資概要!$K$11+6, 0,
        IPMT(投資概要!$K$10 / 12, J2 - 6, 投資概要!$K$11, -投資概要!$K$9)
    )
)</f>
        <v>25960.518769318791</v>
      </c>
      <c r="K61" s="122">
        <f>IF(K2&lt;=6,
    投資概要!$K$9 * 投資概要!$K$10 / 12,
    IF(K2&gt;投資概要!$K$11+6, 0,
        IPMT(投資概要!$K$10 / 12, K2 - 6, 投資概要!$K$11, -投資概要!$K$9)
    )
)</f>
        <v>25615.780597697569</v>
      </c>
      <c r="L61" s="122">
        <f>IF(L2&lt;=6,
    投資概要!$K$9 * 投資概要!$K$10 / 12,
    IF(L2&gt;投資概要!$K$11+6, 0,
        IPMT(投資概要!$K$10 / 12, L2 - 6, 投資概要!$K$11, -投資概要!$K$9)
    )
)</f>
        <v>25270.467862456975</v>
      </c>
      <c r="M61" s="122">
        <f>IF(M2&lt;=6,
    投資概要!$K$9 * 投資概要!$K$10 / 12,
    IF(M2&gt;投資概要!$K$11+6, 0,
        IPMT(投資概要!$K$10 / 12, M2 - 6, 投資概要!$K$11, -投資概要!$K$9)
    )
)</f>
        <v>24924.579605990974</v>
      </c>
      <c r="N61" s="123">
        <f>IF(N2&lt;=6,
    投資概要!$K$9 * 投資概要!$K$10 / 12,
    IF(N2&gt;投資概要!$K$11+6, 0,
        IPMT(投資概要!$K$10 / 12, N2 - 6, 投資概要!$K$11, -投資概要!$K$9)
    )
)</f>
        <v>24578.114869097531</v>
      </c>
      <c r="O61" s="124">
        <f>SUM(C61:N61)</f>
        <v>310482.24503789522</v>
      </c>
      <c r="P61" s="125">
        <f>IF(P2&lt;=6,
    投資概要!$K$9 * 投資概要!$K$10 / 12,
    IF(P2&gt;投資概要!$K$11+6, 0,
        IPMT(投資概要!$K$10 / 12, P2 - 6, 投資概要!$K$11, -投資概要!$K$9)
    )
)</f>
        <v>24231.072690975936</v>
      </c>
      <c r="Q61" s="122">
        <f>IF(Q2&lt;=6,
    投資概要!$K$9 * 投資概要!$K$10 / 12,
    IF(Q2&gt;投資概要!$K$11+6, 0,
        IPMT(投資概要!$K$10 / 12, Q2 - 6, 投資概要!$K$11, -投資概要!$K$9)
    )
)</f>
        <v>23883.452109224138</v>
      </c>
      <c r="R61" s="122">
        <f>IF(R2&lt;=6,
    投資概要!$K$9 * 投資概要!$K$10 / 12,
    IF(R2&gt;投資概要!$K$11+6, 0,
        IPMT(投資概要!$K$10 / 12, R2 - 6, 投資概要!$K$11, -投資概要!$K$9)
    )
)</f>
        <v>23535.252159836084</v>
      </c>
      <c r="S61" s="122">
        <f>IF(S2&lt;=6,
    投資概要!$K$9 * 投資概要!$K$10 / 12,
    IF(S2&gt;投資概要!$K$11+6, 0,
        IPMT(投資概要!$K$10 / 12, S2 - 6, 投資概要!$K$11, -投資概要!$K$9)
    )
)</f>
        <v>23186.471877199048</v>
      </c>
      <c r="T61" s="122">
        <f>IF(T2&lt;=6,
    投資概要!$K$9 * 投資概要!$K$10 / 12,
    IF(T2&gt;投資概要!$K$11+6, 0,
        IPMT(投資概要!$K$10 / 12, T2 - 6, 投資概要!$K$11, -投資概要!$K$9)
    )
)</f>
        <v>22837.110294090955</v>
      </c>
      <c r="U61" s="122">
        <f>IF(U2&lt;=6,
    投資概要!$K$9 * 投資概要!$K$10 / 12,
    IF(U2&gt;投資概要!$K$11+6, 0,
        IPMT(投資概要!$K$10 / 12, U2 - 6, 投資概要!$K$11, -投資概要!$K$9)
    )
)</f>
        <v>22487.166441677684</v>
      </c>
      <c r="V61" s="122">
        <f>IF(V2&lt;=6,
    投資概要!$K$9 * 投資概要!$K$10 / 12,
    IF(V2&gt;投資概要!$K$11+6, 0,
        IPMT(投資概要!$K$10 / 12, V2 - 6, 投資概要!$K$11, -投資概要!$K$9)
    )
)</f>
        <v>22136.639349510388</v>
      </c>
      <c r="W61" s="122">
        <f>IF(W2&lt;=6,
    投資概要!$K$9 * 投資概要!$K$10 / 12,
    IF(W2&gt;投資概要!$K$11+6, 0,
        IPMT(投資概要!$K$10 / 12, W2 - 6, 投資概要!$K$11, -投資概要!$K$9)
    )
)</f>
        <v>21785.528045522813</v>
      </c>
      <c r="X61" s="122">
        <f>IF(X2&lt;=6,
    投資概要!$K$9 * 投資概要!$K$10 / 12,
    IF(X2&gt;投資概要!$K$11+6, 0,
        IPMT(投資概要!$K$10 / 12, X2 - 6, 投資概要!$K$11, -投資概要!$K$9)
    )
)</f>
        <v>21433.831556028592</v>
      </c>
      <c r="Y61" s="122">
        <f>IF(Y2&lt;=6,
    投資概要!$K$9 * 投資概要!$K$10 / 12,
    IF(Y2&gt;投資概要!$K$11+6, 0,
        IPMT(投資概要!$K$10 / 12, Y2 - 6, 投資概要!$K$11, -投資概要!$K$9)
    )
)</f>
        <v>21081.548905718548</v>
      </c>
      <c r="Z61" s="122">
        <f>IF(Z2&lt;=6,
    投資概要!$K$9 * 投資概要!$K$10 / 12,
    IF(Z2&gt;投資概要!$K$11+6, 0,
        IPMT(投資概要!$K$10 / 12, Z2 - 6, 投資概要!$K$11, -投資概要!$K$9)
    )
)</f>
        <v>20728.679117657983</v>
      </c>
      <c r="AA61" s="123">
        <f>IF(AA2&lt;=6,
    投資概要!$K$9 * 投資概要!$K$10 / 12,
    IF(AA2&gt;投資概要!$K$11+6, 0,
        IPMT(投資概要!$K$10 / 12, AA2 - 6, 投資概要!$K$11, -投資概要!$K$9)
    )
)</f>
        <v>20375.221213283989</v>
      </c>
      <c r="AB61" s="124">
        <f t="shared" ref="AB61:AB66" si="849">SUM(P61:AA61)</f>
        <v>267701.97376072616</v>
      </c>
      <c r="AC61" s="125">
        <f>IF(AC2&lt;=6,
    投資概要!$K$9 * 投資概要!$K$10 / 12,
    IF(AC2&gt;投資概要!$K$11+6, 0,
        IPMT(投資概要!$K$10 / 12, AC2 - 6, 投資概要!$K$11, -投資概要!$K$9)
    )
)</f>
        <v>20021.174212402701</v>
      </c>
      <c r="AD61" s="122">
        <f>IF(AD2&lt;=6,
    投資概要!$K$9 * 投資概要!$K$10 / 12,
    IF(AD2&gt;投資概要!$K$11+6, 0,
        IPMT(投資概要!$K$10 / 12, AD2 - 6, 投資概要!$K$11, -投資概要!$K$9)
    )
)</f>
        <v>19666.537133186612</v>
      </c>
      <c r="AE61" s="122">
        <f>IF(AE2&lt;=6,
    投資概要!$K$9 * 投資概要!$K$10 / 12,
    IF(AE2&gt;投資概要!$K$11+6, 0,
        IPMT(投資概要!$K$10 / 12, AE2 - 6, 投資概要!$K$11, -投資概要!$K$9)
    )
)</f>
        <v>19311.308992171835</v>
      </c>
      <c r="AF61" s="122">
        <f>IF(AF2&lt;=6,
    投資概要!$K$9 * 投資概要!$K$10 / 12,
    IF(AF2&gt;投資概要!$K$11+6, 0,
        IPMT(投資概要!$K$10 / 12, AF2 - 6, 投資概要!$K$11, -投資概要!$K$9)
    )
)</f>
        <v>18955.488804255358</v>
      </c>
      <c r="AG61" s="122">
        <f>IF(AG2&lt;=6,
    投資概要!$K$9 * 投資概要!$K$10 / 12,
    IF(AG2&gt;投資概要!$K$11+6, 0,
        IPMT(投資概要!$K$10 / 12, AG2 - 6, 投資概要!$K$11, -投資概要!$K$9)
    )
)</f>
        <v>18599.07558269236</v>
      </c>
      <c r="AH61" s="122">
        <f>IF(AH2&lt;=6,
    投資概要!$K$9 * 投資概要!$K$10 / 12,
    IF(AH2&gt;投資概要!$K$11+6, 0,
        IPMT(投資概要!$K$10 / 12, AH2 - 6, 投資概要!$K$11, -投資概要!$K$9)
    )
)</f>
        <v>18242.068339093417</v>
      </c>
      <c r="AI61" s="122">
        <f>IF(AI2&lt;=6,
    投資概要!$K$9 * 投資概要!$K$10 / 12,
    IF(AI2&gt;投資概要!$K$11+6, 0,
        IPMT(投資概要!$K$10 / 12, AI2 - 6, 投資概要!$K$11, -投資概要!$K$9)
    )
)</f>
        <v>17884.466083421819</v>
      </c>
      <c r="AJ61" s="122">
        <f>IF(AJ2&lt;=6,
    投資概要!$K$9 * 投資概要!$K$10 / 12,
    IF(AJ2&gt;投資概要!$K$11+6, 0,
        IPMT(投資概要!$K$10 / 12, AJ2 - 6, 投資概要!$K$11, -投資概要!$K$9)
    )
)</f>
        <v>17526.267823990762</v>
      </c>
      <c r="AK61" s="122">
        <f>IF(AK2&lt;=6,
    投資概要!$K$9 * 投資概要!$K$10 / 12,
    IF(AK2&gt;投資概要!$K$11+6, 0,
        IPMT(投資概要!$K$10 / 12, AK2 - 6, 投資概要!$K$11, -投資概要!$K$9)
    )
)</f>
        <v>17167.472567460656</v>
      </c>
      <c r="AL61" s="122">
        <f>IF(AL2&lt;=6,
    投資概要!$K$9 * 投資概要!$K$10 / 12,
    IF(AL2&gt;投資概要!$K$11+6, 0,
        IPMT(投資概要!$K$10 / 12, AL2 - 6, 投資概要!$K$11, -投資概要!$K$9)
    )
)</f>
        <v>16808.079318836328</v>
      </c>
      <c r="AM61" s="122">
        <f>IF(AM2&lt;=6,
    投資概要!$K$9 * 投資概要!$K$10 / 12,
    IF(AM2&gt;投資概要!$K$11+6, 0,
        IPMT(投資概要!$K$10 / 12, AM2 - 6, 投資概要!$K$11, -投資概要!$K$9)
    )
)</f>
        <v>16448.087081464295</v>
      </c>
      <c r="AN61" s="123">
        <f>IF(AN2&lt;=6,
    投資概要!$K$9 * 投資概要!$K$10 / 12,
    IF(AN2&gt;投資概要!$K$11+6, 0,
        IPMT(投資概要!$K$10 / 12, AN2 - 6, 投資概要!$K$11, -投資概要!$K$9)
    )
)</f>
        <v>16087.494857029978</v>
      </c>
      <c r="AO61" s="124">
        <f t="shared" ref="AO61:AO66" si="850">SUM(AC61:AN61)</f>
        <v>216717.52079600611</v>
      </c>
      <c r="AP61" s="125">
        <f>IF(AP2&lt;=6,
    投資概要!$K$9 * 投資概要!$K$10 / 12,
    IF(AP2&gt;投資概要!$K$11+6, 0,
        IPMT(投資概要!$K$10 / 12, AP2 - 6, 投資概要!$K$11, -投資概要!$K$9)
    )
)</f>
        <v>15726.301645554935</v>
      </c>
      <c r="AQ61" s="122">
        <f>IF(AQ2&lt;=6,
    投資概要!$K$9 * 投資概要!$K$10 / 12,
    IF(AQ2&gt;投資概要!$K$11+6, 0,
        IPMT(投資概要!$K$10 / 12, AQ2 - 6, 投資概要!$K$11, -投資概要!$K$9)
    )
)</f>
        <v>15364.5064453941</v>
      </c>
      <c r="AR61" s="122">
        <f>IF(AR2&lt;=6,
    投資概要!$K$9 * 投資概要!$K$10 / 12,
    IF(AR2&gt;投資概要!$K$11+6, 0,
        IPMT(投資概要!$K$10 / 12, AR2 - 6, 投資概要!$K$11, -投資概要!$K$9)
    )
)</f>
        <v>15002.108253232998</v>
      </c>
      <c r="AS61" s="122">
        <f>IF(AS2&lt;=6,
    投資概要!$K$9 * 投資概要!$K$10 / 12,
    IF(AS2&gt;投資概要!$K$11+6, 0,
        IPMT(投資概要!$K$10 / 12, AS2 - 6, 投資概要!$K$11, -投資概要!$K$9)
    )
)</f>
        <v>14639.106064084961</v>
      </c>
      <c r="AT61" s="122">
        <f>IF(AT2&lt;=6,
    投資概要!$K$9 * 投資概要!$K$10 / 12,
    IF(AT2&gt;投資概要!$K$11+6, 0,
        IPMT(投資概要!$K$10 / 12, AT2 - 6, 投資概要!$K$11, -投資概要!$K$9)
    )
)</f>
        <v>14275.498871288344</v>
      </c>
      <c r="AU61" s="122">
        <f>IF(AU2&lt;=6,
    投資概要!$K$9 * 投資概要!$K$10 / 12,
    IF(AU2&gt;投資概要!$K$11+6, 0,
        IPMT(投資概要!$K$10 / 12, AU2 - 6, 投資概要!$K$11, -投資概要!$K$9)
    )
)</f>
        <v>13911.285666503733</v>
      </c>
      <c r="AV61" s="122">
        <f>IF(AV2&lt;=6,
    投資概要!$K$9 * 投資概要!$K$10 / 12,
    IF(AV2&gt;投資概要!$K$11+6, 0,
        IPMT(投資概要!$K$10 / 12, AV2 - 6, 投資概要!$K$11, -投資概要!$K$9)
    )
)</f>
        <v>13546.465439711144</v>
      </c>
      <c r="AW61" s="122">
        <f>IF(AW2&lt;=6,
    投資概要!$K$9 * 投資概要!$K$10 / 12,
    IF(AW2&gt;投資概要!$K$11+6, 0,
        IPMT(投資概要!$K$10 / 12, AW2 - 6, 投資概要!$K$11, -投資概要!$K$9)
    )
)</f>
        <v>13181.03717920724</v>
      </c>
      <c r="AX61" s="122">
        <f>IF(AX2&lt;=6,
    投資概要!$K$9 * 投資概要!$K$10 / 12,
    IF(AX2&gt;投資概要!$K$11+6, 0,
        IPMT(投資概要!$K$10 / 12, AX2 - 6, 投資概要!$K$11, -投資概要!$K$9)
    )
)</f>
        <v>12814.999871602491</v>
      </c>
      <c r="AY61" s="122">
        <f>IF(AY2&lt;=6,
    投資概要!$K$9 * 投資概要!$K$10 / 12,
    IF(AY2&gt;投資概要!$K$11+6, 0,
        IPMT(投資概要!$K$10 / 12, AY2 - 6, 投資概要!$K$11, -投資概要!$K$9)
    )
)</f>
        <v>12448.352501818403</v>
      </c>
      <c r="AZ61" s="122">
        <f>IF(AZ2&lt;=6,
    投資概要!$K$9 * 投資概要!$K$10 / 12,
    IF(AZ2&gt;投資概要!$K$11+6, 0,
        IPMT(投資概要!$K$10 / 12, AZ2 - 6, 投資概要!$K$11, -投資概要!$K$9)
    )
)</f>
        <v>12081.094053084676</v>
      </c>
      <c r="BA61" s="123">
        <f>IF(BA2&lt;=6,
    投資概要!$K$9 * 投資概要!$K$10 / 12,
    IF(BA2&gt;投資概要!$K$11+6, 0,
        IPMT(投資概要!$K$10 / 12, BA2 - 6, 投資概要!$K$11, -投資概要!$K$9)
    )
)</f>
        <v>11713.223506936389</v>
      </c>
      <c r="BB61" s="124">
        <f t="shared" ref="BB61:BB66" si="851">SUM(AP61:BA61)</f>
        <v>164703.97949841942</v>
      </c>
      <c r="BC61" s="125">
        <f>IF(BC2&lt;=6,
    投資概要!$K$9 * 投資概要!$K$10 / 12,
    IF(BC2&gt;投資概要!$K$11+6, 0,
        IPMT(投資概要!$K$10 / 12, BC2 - 6, 投資概要!$K$11, -投資概要!$K$9)
    )
)</f>
        <v>11344.739843211193</v>
      </c>
      <c r="BD61" s="122">
        <f>IF(BD2&lt;=6,
    投資概要!$K$9 * 投資概要!$K$10 / 12,
    IF(BD2&gt;投資概要!$K$11+6, 0,
        IPMT(投資概要!$K$10 / 12, BD2 - 6, 投資概要!$K$11, -投資概要!$K$9)
    )
)</f>
        <v>10975.64204004645</v>
      </c>
      <c r="BE61" s="122">
        <f>IF(BE2&lt;=6,
    投資概要!$K$9 * 投資概要!$K$10 / 12,
    IF(BE2&gt;投資概要!$K$11+6, 0,
        IPMT(投資概要!$K$10 / 12, BE2 - 6, 投資概要!$K$11, -投資概要!$K$9)
    )
)</f>
        <v>10605.929073876438</v>
      </c>
      <c r="BF61" s="122">
        <f>IF(BF2&lt;=6,
    投資概要!$K$9 * 投資概要!$K$10 / 12,
    IF(BF2&gt;投資概要!$K$11+6, 0,
        IPMT(投資概要!$K$10 / 12, BF2 - 6, 投資概要!$K$11, -投資概要!$K$9)
    )
)</f>
        <v>10235.599919429471</v>
      </c>
      <c r="BG61" s="122">
        <f>IF(BG2&lt;=6,
    投資概要!$K$9 * 投資概要!$K$10 / 12,
    IF(BG2&gt;投資概要!$K$11+6, 0,
        IPMT(投資概要!$K$10 / 12, BG2 - 6, 投資概要!$K$11, -投資概要!$K$9)
    )
)</f>
        <v>9864.6535497250952</v>
      </c>
      <c r="BH61" s="122">
        <f>IF(BH2&lt;=6,
    投資概要!$K$9 * 投資概要!$K$10 / 12,
    IF(BH2&gt;投資概要!$K$11+6, 0,
        IPMT(投資概要!$K$10 / 12, BH2 - 6, 投資概要!$K$11, -投資概要!$K$9)
    )
)</f>
        <v>9493.0889360712099</v>
      </c>
      <c r="BI61" s="122">
        <f>IF(BI2&lt;=6,
    投資概要!$K$9 * 投資概要!$K$10 / 12,
    IF(BI2&gt;投資概要!$K$11+6, 0,
        IPMT(投資概要!$K$10 / 12, BI2 - 6, 投資概要!$K$11, -投資概要!$K$9)
    )
)</f>
        <v>9120.905048061235</v>
      </c>
      <c r="BJ61" s="122">
        <f>IF(BJ2&lt;=6,
    投資概要!$K$9 * 投資概要!$K$10 / 12,
    IF(BJ2&gt;投資概要!$K$11+6, 0,
        IPMT(投資概要!$K$10 / 12, BJ2 - 6, 投資概要!$K$11, -投資概要!$K$9)
    )
)</f>
        <v>8748.1008535712444</v>
      </c>
      <c r="BK61" s="122">
        <f>IF(BK2&lt;=6,
    投資概要!$K$9 * 投資概要!$K$10 / 12,
    IF(BK2&gt;投資概要!$K$11+6, 0,
        IPMT(投資概要!$K$10 / 12, BK2 - 6, 投資概要!$K$11, -投資概要!$K$9)
    )
)</f>
        <v>8374.675318757103</v>
      </c>
      <c r="BL61" s="122">
        <f>IF(BL2&lt;=6,
    投資概要!$K$9 * 投資概要!$K$10 / 12,
    IF(BL2&gt;投資概要!$K$11+6, 0,
        IPMT(投資概要!$K$10 / 12, BL2 - 6, 投資概要!$K$11, -投資概要!$K$9)
    )
)</f>
        <v>8000.6274080516077</v>
      </c>
      <c r="BM61" s="122">
        <f>IF(BM2&lt;=6,
    投資概要!$K$9 * 投資概要!$K$10 / 12,
    IF(BM2&gt;投資概要!$K$11+6, 0,
        IPMT(投資概要!$K$10 / 12, BM2 - 6, 投資概要!$K$11, -投資概要!$K$9)
    )
)</f>
        <v>7625.9560841616012</v>
      </c>
      <c r="BN61" s="123">
        <f>IF(BN2&lt;=6,
    投資概要!$K$9 * 投資概要!$K$10 / 12,
    IF(BN2&gt;投資概要!$K$11+6, 0,
        IPMT(投資概要!$K$10 / 12, BN2 - 6, 投資概要!$K$11, -投資概要!$K$9)
    )
)</f>
        <v>7250.6603080651121</v>
      </c>
      <c r="BO61" s="124">
        <f t="shared" ref="BO61:BO66" si="852">SUM(BC61:BN61)</f>
        <v>111640.57838302777</v>
      </c>
      <c r="BP61" s="125">
        <f>IF(BP2&lt;=6,
    投資概要!$K$9 * 投資概要!$K$10 / 12,
    IF(BP2&gt;投資概要!$K$11+6, 0,
        IPMT(投資概要!$K$10 / 12, BP2 - 6, 投資概要!$K$11, -投資概要!$K$9)
    )
)</f>
        <v>6874.7390390084611</v>
      </c>
      <c r="BQ61" s="122">
        <f>IF(BQ2&lt;=6,
    投資概要!$K$9 * 投資概要!$K$10 / 12,
    IF(BQ2&gt;投資概要!$K$11+6, 0,
        IPMT(投資概要!$K$10 / 12, BQ2 - 6, 投資概要!$K$11, -投資概要!$K$9)
    )
)</f>
        <v>6498.1912345033825</v>
      </c>
      <c r="BR61" s="122">
        <f>IF(BR2&lt;=6,
    投資概要!$K$9 * 投資概要!$K$10 / 12,
    IF(BR2&gt;投資概要!$K$11+6, 0,
        IPMT(投資概要!$K$10 / 12, BR2 - 6, 投資概要!$K$11, -投資概要!$K$9)
    )
)</f>
        <v>6121.0158503241291</v>
      </c>
      <c r="BS61" s="122">
        <f>IF(BS2&lt;=6,
    投資概要!$K$9 * 投資概要!$K$10 / 12,
    IF(BS2&gt;投資概要!$K$11+6, 0,
        IPMT(投資概要!$K$10 / 12, BS2 - 6, 投資概要!$K$11, -投資概要!$K$9)
    )
)</f>
        <v>5743.2118405045776</v>
      </c>
      <c r="BT61" s="122">
        <f>IF(BT2&lt;=6,
    投資概要!$K$9 * 投資概要!$K$10 / 12,
    IF(BT2&gt;投資概要!$K$11+6, 0,
        IPMT(投資概要!$K$10 / 12, BT2 - 6, 投資概要!$K$11, -投資概要!$K$9)
    )
)</f>
        <v>5364.778157335325</v>
      </c>
      <c r="BU61" s="122">
        <f>IF(BU2&lt;=6,
    投資概要!$K$9 * 投資概要!$K$10 / 12,
    IF(BU2&gt;投資概要!$K$11+6, 0,
        IPMT(投資概要!$K$10 / 12, BU2 - 6, 投資概要!$K$11, -投資概要!$K$9)
    )
)</f>
        <v>4985.7137513607922</v>
      </c>
      <c r="BV61" s="122">
        <f>IF(BV2&lt;=6,
    投資概要!$K$9 * 投資概要!$K$10 / 12,
    IF(BV2&gt;投資概要!$K$11+6, 0,
        IPMT(投資概要!$K$10 / 12, BV2 - 6, 投資概要!$K$11, -投資概要!$K$9)
    )
)</f>
        <v>4606.017571376301</v>
      </c>
      <c r="BW61" s="122">
        <f>IF(BW2&lt;=6,
    投資概要!$K$9 * 投資概要!$K$10 / 12,
    IF(BW2&gt;投資概要!$K$11+6, 0,
        IPMT(投資概要!$K$10 / 12, BW2 - 6, 投資概要!$K$11, -投資概要!$K$9)
    )
)</f>
        <v>4225.6885644251679</v>
      </c>
      <c r="BX61" s="122">
        <f>IF(BX2&lt;=6,
    投資概要!$K$9 * 投資概要!$K$10 / 12,
    IF(BX2&gt;投資概要!$K$11+6, 0,
        IPMT(投資概要!$K$10 / 12, BX2 - 6, 投資概要!$K$11, -投資概要!$K$9)
    )
)</f>
        <v>3844.7256757957839</v>
      </c>
      <c r="BY61" s="122">
        <f>IF(BY2&lt;=6,
    投資概要!$K$9 * 投資概要!$K$10 / 12,
    IF(BY2&gt;投資概要!$K$11+6, 0,
        IPMT(投資概要!$K$10 / 12, BY2 - 6, 投資概要!$K$11, -投資概要!$K$9)
    )
)</f>
        <v>3463.1278490186846</v>
      </c>
      <c r="BZ61" s="122">
        <f>IF(BZ2&lt;=6,
    投資概要!$K$9 * 投資概要!$K$10 / 12,
    IF(BZ2&gt;投資概要!$K$11+6, 0,
        IPMT(投資概要!$K$10 / 12, BZ2 - 6, 投資概要!$K$11, -投資概要!$K$9)
    )
)</f>
        <v>3080.8940258636239</v>
      </c>
      <c r="CA61" s="123">
        <f>IF(CA2&lt;=6,
    投資概要!$K$9 * 投資概要!$K$10 / 12,
    IF(CA2&gt;投資概要!$K$11+6, 0,
        IPMT(投資概要!$K$10 / 12, CA2 - 6, 投資概要!$K$11, -投資概要!$K$9)
    )
)</f>
        <v>2698.0231463366372</v>
      </c>
      <c r="CB61" s="124">
        <f t="shared" ref="CB61:CB66" si="853">SUM(BP61:CA61)</f>
        <v>57506.126705852854</v>
      </c>
      <c r="CC61" s="125">
        <f>IF(CC2&lt;=6,
    投資概要!$K$9 * 投資概要!$K$10 / 12,
    IF(CC2&gt;投資概要!$K$11+6, 0,
        IPMT(投資概要!$K$10 / 12, CC2 - 6, 投資概要!$K$11, -投資概要!$K$9)
    )
)</f>
        <v>2314.5141486771063</v>
      </c>
      <c r="CD61" s="122">
        <f>IF(CD2&lt;=6,
    投資概要!$K$9 * 投資概要!$K$10 / 12,
    IF(CD2&gt;投資概要!$K$11+6, 0,
        IPMT(投資概要!$K$10 / 12, CD2 - 6, 投資概要!$K$11, -投資概要!$K$9)
    )
)</f>
        <v>1930.3659693548084</v>
      </c>
      <c r="CE61" s="122">
        <f>IF(CE2&lt;=6,
    投資概要!$K$9 * 投資概要!$K$10 / 12,
    IF(CE2&gt;投資概要!$K$11+6, 0,
        IPMT(投資概要!$K$10 / 12, CE2 - 6, 投資概要!$K$11, -投資概要!$K$9)
    )
)</f>
        <v>1545.5775430669742</v>
      </c>
      <c r="CF61" s="122">
        <f>IF(CF2&lt;=6,
    投資概要!$K$9 * 投資概要!$K$10 / 12,
    IF(CF2&gt;投資概要!$K$11+6, 0,
        IPMT(投資概要!$K$10 / 12, CF2 - 6, 投資概要!$K$11, -投資概要!$K$9)
    )
)</f>
        <v>1160.1478027353266</v>
      </c>
      <c r="CG61" s="122">
        <f>IF(CG2&lt;=6,
    投資概要!$K$9 * 投資概要!$K$10 / 12,
    IF(CG2&gt;投資概要!$K$11+6, 0,
        IPMT(投資概要!$K$10 / 12, CG2 - 6, 投資概要!$K$11, -投資概要!$K$9)
    )
)</f>
        <v>774.07567950312614</v>
      </c>
      <c r="CH61" s="122">
        <f>IF(CH2&lt;=6,
    投資概要!$K$9 * 投資概要!$K$10 / 12,
    IF(CH2&gt;投資概要!$K$11+6, 0,
        IPMT(投資概要!$K$10 / 12, CH2 - 6, 投資概要!$K$11, -投資概要!$K$9)
    )
)</f>
        <v>387.36010273220552</v>
      </c>
      <c r="CI61" s="122"/>
      <c r="CJ61" s="122"/>
      <c r="CK61" s="122"/>
      <c r="CL61" s="122"/>
      <c r="CM61" s="122"/>
      <c r="CN61" s="123"/>
      <c r="CO61" s="124">
        <f t="shared" ref="CO61:CO66" si="854">SUM(CC61:CN61)</f>
        <v>8112.0412460695479</v>
      </c>
      <c r="CP61" s="125"/>
      <c r="CQ61" s="122"/>
      <c r="CR61" s="122"/>
      <c r="CS61" s="122"/>
      <c r="CT61" s="122"/>
      <c r="CU61" s="122"/>
      <c r="CV61" s="122"/>
      <c r="CW61" s="122"/>
      <c r="CX61" s="122"/>
      <c r="CY61" s="122"/>
      <c r="CZ61" s="122"/>
      <c r="DA61" s="123"/>
      <c r="DB61" s="124"/>
      <c r="DC61" s="125"/>
      <c r="DD61" s="122"/>
      <c r="DE61" s="122"/>
      <c r="DF61" s="122"/>
      <c r="DG61" s="122"/>
      <c r="DH61" s="122"/>
      <c r="DI61" s="122"/>
      <c r="DJ61" s="122"/>
      <c r="DK61" s="122"/>
      <c r="DL61" s="122"/>
      <c r="DM61" s="122"/>
      <c r="DN61" s="123"/>
      <c r="DO61" s="124"/>
      <c r="DP61" s="125"/>
      <c r="DQ61" s="122"/>
      <c r="DR61" s="122"/>
      <c r="DS61" s="122"/>
      <c r="DT61" s="122"/>
      <c r="DU61" s="122"/>
      <c r="DV61" s="122"/>
      <c r="DW61" s="122"/>
      <c r="DX61" s="122"/>
      <c r="DY61" s="122"/>
      <c r="DZ61" s="122"/>
      <c r="EA61" s="123"/>
      <c r="EB61" s="126"/>
    </row>
    <row r="62" spans="1:132" s="338" customFormat="1" ht="36" customHeight="1">
      <c r="A62" s="365" t="s">
        <v>152</v>
      </c>
      <c r="B62" s="365"/>
      <c r="C62" s="127">
        <f>C59-C61</f>
        <v>-266304.68333333335</v>
      </c>
      <c r="D62" s="127">
        <f t="shared" ref="D62:N62" si="855">D59-D61</f>
        <v>-670446.32333333336</v>
      </c>
      <c r="E62" s="127">
        <f t="shared" si="855"/>
        <v>-3174867.9633333334</v>
      </c>
      <c r="F62" s="127">
        <f t="shared" si="855"/>
        <v>-3174867.9633333334</v>
      </c>
      <c r="G62" s="127">
        <f t="shared" si="855"/>
        <v>-350490.36333333352</v>
      </c>
      <c r="H62" s="127">
        <f t="shared" si="855"/>
        <v>-199411.96333333361</v>
      </c>
      <c r="I62" s="127">
        <f t="shared" si="855"/>
        <v>100358.40466666665</v>
      </c>
      <c r="J62" s="127">
        <f t="shared" si="855"/>
        <v>350380.64718268102</v>
      </c>
      <c r="K62" s="127">
        <f t="shared" si="855"/>
        <v>637401.98620882945</v>
      </c>
      <c r="L62" s="127">
        <f t="shared" si="855"/>
        <v>804597.4147935427</v>
      </c>
      <c r="M62" s="127">
        <f t="shared" si="855"/>
        <v>833750.24730079249</v>
      </c>
      <c r="N62" s="127">
        <f t="shared" si="855"/>
        <v>863417.12005306664</v>
      </c>
      <c r="O62" s="128">
        <f>SUM(C62:N62)</f>
        <v>-4246483.4397944221</v>
      </c>
      <c r="P62" s="127">
        <f>P59-P61</f>
        <v>1241180.0846698475</v>
      </c>
      <c r="Q62" s="127">
        <f t="shared" ref="Q62" si="856">Q59-Q61</f>
        <v>1604673.2832756406</v>
      </c>
      <c r="R62" s="127">
        <f t="shared" ref="R62" si="857">R59-R61</f>
        <v>1261381.77780194</v>
      </c>
      <c r="S62" s="127">
        <f t="shared" ref="S62" si="858">S59-S61</f>
        <v>1408179.4471363737</v>
      </c>
      <c r="T62" s="127">
        <f t="shared" ref="T62" si="859">T59-T61</f>
        <v>1538857.0767858443</v>
      </c>
      <c r="U62" s="127">
        <f t="shared" ref="U62" si="860">U59-U61</f>
        <v>1577272.5980163007</v>
      </c>
      <c r="V62" s="127">
        <f t="shared" ref="V62" si="861">V59-V61</f>
        <v>1881329.2719635228</v>
      </c>
      <c r="W62" s="127">
        <f t="shared" ref="W62" si="862">W59-W61</f>
        <v>1904953.2350089273</v>
      </c>
      <c r="X62" s="127">
        <f t="shared" ref="X62" si="863">X59-X61</f>
        <v>2025028.7491654065</v>
      </c>
      <c r="Y62" s="127">
        <f t="shared" ref="Y62" si="864">Y59-Y61</f>
        <v>2103863.6403890238</v>
      </c>
      <c r="Z62" s="127">
        <f t="shared" ref="Z62" si="865">Z59-Z61</f>
        <v>2020167.3735931788</v>
      </c>
      <c r="AA62" s="127">
        <f t="shared" ref="AA62" si="866">AA59-AA61</f>
        <v>2222721.9916872531</v>
      </c>
      <c r="AB62" s="128">
        <f t="shared" si="849"/>
        <v>20789608.529493257</v>
      </c>
      <c r="AC62" s="127">
        <f>AC59-AC61</f>
        <v>1913205.8701508138</v>
      </c>
      <c r="AD62" s="127">
        <f t="shared" ref="AD62" si="867">AD59-AD61</f>
        <v>2451706.8562435913</v>
      </c>
      <c r="AE62" s="127">
        <f t="shared" ref="AE62" si="868">AE59-AE61</f>
        <v>2428669.2796046659</v>
      </c>
      <c r="AF62" s="127">
        <f t="shared" ref="AF62" si="869">AF59-AF61</f>
        <v>2704940.0995094995</v>
      </c>
      <c r="AG62" s="127">
        <f t="shared" ref="AG62" si="870">AG59-AG61</f>
        <v>2584380.084973718</v>
      </c>
      <c r="AH62" s="127">
        <f t="shared" ref="AH62" si="871">AH59-AH61</f>
        <v>2705103.7285797279</v>
      </c>
      <c r="AI62" s="127">
        <f t="shared" ref="AI62" si="872">AI59-AI61</f>
        <v>2729048.5793164042</v>
      </c>
      <c r="AJ62" s="127">
        <f t="shared" ref="AJ62" si="873">AJ59-AJ61</f>
        <v>2742427.5811270415</v>
      </c>
      <c r="AK62" s="127">
        <f t="shared" ref="AK62" si="874">AK59-AK61</f>
        <v>2735594.1811473854</v>
      </c>
      <c r="AL62" s="127">
        <f t="shared" ref="AL62" si="875">AL59-AL61</f>
        <v>2776412.3435035599</v>
      </c>
      <c r="AM62" s="127">
        <f t="shared" ref="AM62" si="876">AM59-AM61</f>
        <v>2721598.5437035034</v>
      </c>
      <c r="AN62" s="127">
        <f t="shared" ref="AN62" si="877">AN59-AN61</f>
        <v>2734859.9338758923</v>
      </c>
      <c r="AO62" s="128">
        <f t="shared" si="850"/>
        <v>31227947.081735805</v>
      </c>
      <c r="AP62" s="127">
        <f>AP59-AP61</f>
        <v>2611743.0336858011</v>
      </c>
      <c r="AQ62" s="127">
        <f t="shared" ref="AQ62" si="878">AQ59-AQ61</f>
        <v>2702153.7860485222</v>
      </c>
      <c r="AR62" s="127">
        <f t="shared" ref="AR62" si="879">AR59-AR61</f>
        <v>2599065.2950841561</v>
      </c>
      <c r="AS62" s="127">
        <f t="shared" ref="AS62" si="880">AS59-AS61</f>
        <v>2634693.3059275728</v>
      </c>
      <c r="AT62" s="127">
        <f t="shared" ref="AT62" si="881">AT59-AT61</f>
        <v>2651276.9289344279</v>
      </c>
      <c r="AU62" s="127">
        <f t="shared" ref="AU62" si="882">AU59-AU61</f>
        <v>2661218.0489201508</v>
      </c>
      <c r="AV62" s="127">
        <f t="shared" ref="AV62" si="883">AV59-AV61</f>
        <v>2678028.7787289866</v>
      </c>
      <c r="AW62" s="127">
        <f t="shared" ref="AW62" si="884">AW59-AW61</f>
        <v>2730708.1050849995</v>
      </c>
      <c r="AX62" s="127">
        <f t="shared" ref="AX62" si="885">AX59-AX61</f>
        <v>2765166.4309945796</v>
      </c>
      <c r="AY62" s="127">
        <f t="shared" ref="AY62" si="886">AY59-AY61</f>
        <v>2754240.808608064</v>
      </c>
      <c r="AZ62" s="127">
        <f t="shared" ref="AZ62" si="887">AZ59-AZ61</f>
        <v>2755614.0336814816</v>
      </c>
      <c r="BA62" s="127">
        <f t="shared" ref="BA62" si="888">BA59-BA61</f>
        <v>2747436.5791752008</v>
      </c>
      <c r="BB62" s="128">
        <f t="shared" si="851"/>
        <v>32291345.134873945</v>
      </c>
      <c r="BC62" s="127">
        <f>BC59-BC61</f>
        <v>2818671.9112522057</v>
      </c>
      <c r="BD62" s="127">
        <f t="shared" ref="BD62" si="889">BD59-BD61</f>
        <v>2824584.9694707086</v>
      </c>
      <c r="BE62" s="127">
        <f t="shared" ref="BE62" si="890">BE59-BE61</f>
        <v>2779311.3392968182</v>
      </c>
      <c r="BF62" s="127">
        <f t="shared" ref="BF62" si="891">BF59-BF61</f>
        <v>2807793.5997913857</v>
      </c>
      <c r="BG62" s="127">
        <f t="shared" ref="BG62" si="892">BG59-BG61</f>
        <v>2817496.1485216296</v>
      </c>
      <c r="BH62" s="127">
        <f t="shared" ref="BH62" si="893">BH59-BH61</f>
        <v>2820811.0777604817</v>
      </c>
      <c r="BI62" s="127">
        <f t="shared" ref="BI62" si="894">BI59-BI61</f>
        <v>2831241.0701345564</v>
      </c>
      <c r="BJ62" s="127">
        <f t="shared" ref="BJ62" si="895">BJ59-BJ61</f>
        <v>2877776.031069126</v>
      </c>
      <c r="BK62" s="127">
        <f t="shared" ref="BK62" si="896">BK59-BK61</f>
        <v>2906317.6182806371</v>
      </c>
      <c r="BL62" s="127">
        <f t="shared" ref="BL62" si="897">BL59-BL61</f>
        <v>2889694.4622060037</v>
      </c>
      <c r="BM62" s="127">
        <f t="shared" ref="BM62" si="898">BM59-BM61</f>
        <v>2885581.2484920104</v>
      </c>
      <c r="BN62" s="127">
        <f t="shared" ref="BN62" si="899">BN59-BN61</f>
        <v>2872120.6400646265</v>
      </c>
      <c r="BO62" s="128">
        <f t="shared" si="852"/>
        <v>34131400.11634019</v>
      </c>
      <c r="BP62" s="127">
        <f>BP59-BP61</f>
        <v>2938044.7692589262</v>
      </c>
      <c r="BQ62" s="127">
        <f t="shared" ref="BQ62" si="900">BQ59-BQ61</f>
        <v>2938408.943704485</v>
      </c>
      <c r="BR62" s="127">
        <f t="shared" ref="BR62" si="901">BR59-BR61</f>
        <v>3500017.9906584518</v>
      </c>
      <c r="BS62" s="127">
        <f t="shared" ref="BS62" si="902">BS59-BS61</f>
        <v>3523957.7577739758</v>
      </c>
      <c r="BT62" s="127">
        <f t="shared" ref="BT62" si="903">BT59-BT61</f>
        <v>3529286.1744079399</v>
      </c>
      <c r="BU62" s="127">
        <f t="shared" ref="BU62" si="904">BU59-BU61</f>
        <v>3528389.1039475277</v>
      </c>
      <c r="BV62" s="127">
        <f t="shared" ref="BV62" si="905">BV59-BV61</f>
        <v>3534763.2306031832</v>
      </c>
      <c r="BW62" s="127">
        <f t="shared" ref="BW62" si="906">BW59-BW61</f>
        <v>3577392.6833262038</v>
      </c>
      <c r="BX62" s="127">
        <f t="shared" ref="BX62" si="907">BX59-BX61</f>
        <v>3602173.5570894107</v>
      </c>
      <c r="BY62" s="127">
        <f t="shared" ref="BY62" si="908">BY59-BY61</f>
        <v>3581929.1254084026</v>
      </c>
      <c r="BZ62" s="127">
        <f t="shared" ref="BZ62" si="909">BZ59-BZ61</f>
        <v>3574328.9152155626</v>
      </c>
      <c r="CA62" s="127">
        <f t="shared" ref="CA62" si="910">CA59-CA61</f>
        <v>3557510.6215956858</v>
      </c>
      <c r="CB62" s="128">
        <f t="shared" si="853"/>
        <v>41386202.872989759</v>
      </c>
      <c r="CC62" s="127">
        <f>CC59-CC61</f>
        <v>3619697.5389017612</v>
      </c>
      <c r="CD62" s="127">
        <f t="shared" ref="CD62" si="911">CD59-CD61</f>
        <v>3616535.0107833412</v>
      </c>
      <c r="CE62" s="127">
        <f t="shared" ref="CE62" si="912">CE59-CE61</f>
        <v>3563546.3037128355</v>
      </c>
      <c r="CF62" s="127">
        <f t="shared" ref="CF62" si="913">CF59-CF61</f>
        <v>3584599.5280737542</v>
      </c>
      <c r="CG62" s="127">
        <f t="shared" ref="CG62" si="914">CG59-CG61</f>
        <v>3587148.4988966133</v>
      </c>
      <c r="CH62" s="127">
        <f t="shared" ref="CH62" si="915">CH59-CH61</f>
        <v>3583575.1174731231</v>
      </c>
      <c r="CI62" s="127">
        <f t="shared" ref="CI62" si="916">CI59-CI61</f>
        <v>3587372.252516604</v>
      </c>
      <c r="CJ62" s="127">
        <f t="shared" ref="CJ62" si="917">CJ59-CJ61</f>
        <v>3627132.3529525464</v>
      </c>
      <c r="CK62" s="127">
        <f t="shared" ref="CK62" si="918">CK59-CK61</f>
        <v>3649135.3344083568</v>
      </c>
      <c r="CL62" s="127">
        <f t="shared" ref="CL62" si="919">CL59-CL61</f>
        <v>3626201.0618703035</v>
      </c>
      <c r="CM62" s="127">
        <f t="shared" ref="CM62" si="920">CM59-CM61</f>
        <v>3615995.7798161581</v>
      </c>
      <c r="CN62" s="127">
        <f t="shared" ref="CN62" si="921">CN59-CN61</f>
        <v>3596654.0222860165</v>
      </c>
      <c r="CO62" s="128">
        <f t="shared" si="854"/>
        <v>43257592.801691413</v>
      </c>
      <c r="CP62" s="127">
        <f>CP59-CP61</f>
        <v>3655695.6437237966</v>
      </c>
      <c r="CQ62" s="127">
        <f t="shared" ref="CQ62" si="922">CQ59-CQ61</f>
        <v>3649900.8488337207</v>
      </c>
      <c r="CR62" s="127">
        <f t="shared" ref="CR62" si="923">CR59-CR61</f>
        <v>3594615.6831444809</v>
      </c>
      <c r="CS62" s="127">
        <f t="shared" ref="CS62" si="924">CS59-CS61</f>
        <v>3613442.5393697452</v>
      </c>
      <c r="CT62" s="127">
        <f t="shared" ref="CT62" si="925">CT59-CT61</f>
        <v>3613832.6143946736</v>
      </c>
      <c r="CU62" s="127">
        <f t="shared" ref="CU62" si="926">CU59-CU61</f>
        <v>3608165.2881956799</v>
      </c>
      <c r="CV62" s="127">
        <f t="shared" ref="CV62" si="927">CV59-CV61</f>
        <v>3609931.0014180476</v>
      </c>
      <c r="CW62" s="127">
        <f t="shared" ref="CW62" si="928">CW59-CW61</f>
        <v>3648107.8704191889</v>
      </c>
      <c r="CX62" s="127">
        <f t="shared" ref="CX62" si="929">CX59-CX61</f>
        <v>3668586.2000032859</v>
      </c>
      <c r="CY62" s="127">
        <f t="shared" ref="CY62" si="930">CY59-CY61</f>
        <v>3644183.6877127737</v>
      </c>
      <c r="CZ62" s="127">
        <f t="shared" ref="CZ62" si="931">CZ59-CZ61</f>
        <v>3632564.4907770101</v>
      </c>
      <c r="DA62" s="127">
        <f t="shared" ref="DA62" si="932">DA59-DA61</f>
        <v>3611861.1332158684</v>
      </c>
      <c r="DB62" s="128">
        <f>SUM(CP62:DA62)</f>
        <v>43550887.001208268</v>
      </c>
      <c r="DC62" s="127">
        <f>DC59-DC61</f>
        <v>3668747.2591445097</v>
      </c>
      <c r="DD62" s="127">
        <f t="shared" ref="DD62" si="933">DD59-DD61</f>
        <v>3661522.4687807248</v>
      </c>
      <c r="DE62" s="127">
        <f t="shared" ref="DE62" si="934">DE59-DE61</f>
        <v>3605021.3175417278</v>
      </c>
      <c r="DF62" s="127">
        <f t="shared" ref="DF62" si="935">DF59-DF61</f>
        <v>3622677.1796825733</v>
      </c>
      <c r="DG62" s="127">
        <f t="shared" ref="DG62" si="936">DG59-DG61</f>
        <v>3621939.5874042078</v>
      </c>
      <c r="DH62" s="127">
        <f t="shared" ref="DH62" si="937">DH59-DH61</f>
        <v>3615186.3175921412</v>
      </c>
      <c r="DI62" s="127">
        <f t="shared" ref="DI62" si="938">DI59-DI61</f>
        <v>3615906.2671151208</v>
      </c>
      <c r="DJ62" s="127">
        <f t="shared" ref="DJ62" si="939">DJ59-DJ61</f>
        <v>3653076.0656737518</v>
      </c>
      <c r="DK62" s="127">
        <f t="shared" ref="DK62" si="940">DK59-DK61</f>
        <v>3672584.5864217123</v>
      </c>
      <c r="DL62" s="127">
        <f t="shared" ref="DL62" si="941">DL59-DL61</f>
        <v>3647248.1482219966</v>
      </c>
      <c r="DM62" s="127">
        <f t="shared" ref="DM62" si="942">DM59-DM61</f>
        <v>3634729.5806356706</v>
      </c>
      <c r="DN62" s="127">
        <f t="shared" ref="DN62" si="943">DN59-DN61</f>
        <v>3613160.1291380408</v>
      </c>
      <c r="DO62" s="128">
        <f>SUM(DC62:DN62)</f>
        <v>43631798.907352179</v>
      </c>
      <c r="DP62" s="127">
        <f>DP59-DP61</f>
        <v>3668256.4745003534</v>
      </c>
      <c r="DQ62" s="127">
        <f t="shared" ref="DQ62" si="944">DQ59-DQ61</f>
        <v>3660122.0848557297</v>
      </c>
      <c r="DR62" s="127">
        <f t="shared" ref="DR62" si="945">DR59-DR61</f>
        <v>3602847.4629296502</v>
      </c>
      <c r="DS62" s="127">
        <f t="shared" ref="DS62" si="946">DS59-DS61</f>
        <v>3619758.4727988373</v>
      </c>
      <c r="DT62" s="127">
        <f t="shared" ref="DT62" si="947">DT59-DT61</f>
        <v>3618303.5877828635</v>
      </c>
      <c r="DU62" s="127">
        <f t="shared" ref="DU62" si="948">DU59-DU61</f>
        <v>3610859.5650644819</v>
      </c>
      <c r="DV62" s="127">
        <f t="shared" ref="DV62" si="949">DV59-DV61</f>
        <v>3610914.3195386799</v>
      </c>
      <c r="DW62" s="127">
        <f t="shared" ref="DW62" si="950">DW59-DW61</f>
        <v>3647443.5352653307</v>
      </c>
      <c r="DX62" s="127">
        <f t="shared" ref="DX62" si="951">DX59-DX61</f>
        <v>3666335.1747460975</v>
      </c>
      <c r="DY62" s="127">
        <f t="shared" ref="DY62" si="952">DY59-DY61</f>
        <v>3640404.6798860743</v>
      </c>
      <c r="DZ62" s="127">
        <f t="shared" ref="DZ62" si="953">DZ59-DZ61</f>
        <v>3627314.035735873</v>
      </c>
      <c r="EA62" s="127">
        <f t="shared" ref="EA62" si="954">EA59-EA61</f>
        <v>3605193.6745072287</v>
      </c>
      <c r="EB62" s="129">
        <f>SUM(DP62:EA62)</f>
        <v>43577753.067611203</v>
      </c>
    </row>
    <row r="63" spans="1:132" s="95" customFormat="1" ht="36" customHeight="1">
      <c r="A63" s="366" t="s">
        <v>154</v>
      </c>
      <c r="B63" s="366"/>
      <c r="C63" s="130"/>
      <c r="D63" s="130"/>
      <c r="E63" s="130"/>
      <c r="F63" s="130"/>
      <c r="G63" s="130"/>
      <c r="H63" s="130"/>
      <c r="I63" s="130"/>
      <c r="J63" s="130"/>
      <c r="K63" s="130"/>
      <c r="L63" s="130"/>
      <c r="M63" s="130"/>
      <c r="N63" s="131"/>
      <c r="O63" s="132"/>
      <c r="P63" s="133">
        <f>P62*投資概要!$K$17</f>
        <v>372354.02540095424</v>
      </c>
      <c r="Q63" s="130">
        <f>Q62*投資概要!$K$17</f>
        <v>481401.98498269217</v>
      </c>
      <c r="R63" s="130">
        <f>R62*投資概要!$K$17</f>
        <v>378414.53334058198</v>
      </c>
      <c r="S63" s="130">
        <f>S62*投資概要!$K$17</f>
        <v>422453.83414091211</v>
      </c>
      <c r="T63" s="130">
        <f>T62*投資概要!$K$17</f>
        <v>461657.12303575326</v>
      </c>
      <c r="U63" s="130">
        <f>U62*投資概要!$K$17</f>
        <v>473181.7794048902</v>
      </c>
      <c r="V63" s="130">
        <f>V62*投資概要!$K$17</f>
        <v>564398.78158905683</v>
      </c>
      <c r="W63" s="130">
        <f>W62*投資概要!$K$17</f>
        <v>571485.97050267819</v>
      </c>
      <c r="X63" s="130">
        <f>X62*投資概要!$K$17</f>
        <v>607508.62474962196</v>
      </c>
      <c r="Y63" s="130">
        <f>Y62*投資概要!$K$17</f>
        <v>631159.09211670712</v>
      </c>
      <c r="Z63" s="130">
        <f>Z62*投資概要!$K$17</f>
        <v>606050.21207795362</v>
      </c>
      <c r="AA63" s="131">
        <f>AA62*投資概要!$K$17</f>
        <v>666816.59750617587</v>
      </c>
      <c r="AB63" s="132">
        <f t="shared" si="849"/>
        <v>6236882.5588479778</v>
      </c>
      <c r="AC63" s="133">
        <f>AC62*投資概要!$K$17</f>
        <v>573961.76104524417</v>
      </c>
      <c r="AD63" s="130">
        <f>AD62*投資概要!$K$17</f>
        <v>735512.05687307741</v>
      </c>
      <c r="AE63" s="130">
        <f>AE62*投資概要!$K$17</f>
        <v>728600.78388139978</v>
      </c>
      <c r="AF63" s="130">
        <f>AF62*投資概要!$K$17</f>
        <v>811482.02985284978</v>
      </c>
      <c r="AG63" s="130">
        <f>AG62*投資概要!$K$17</f>
        <v>775314.02549211541</v>
      </c>
      <c r="AH63" s="130">
        <f>AH62*投資概要!$K$17</f>
        <v>811531.11857391836</v>
      </c>
      <c r="AI63" s="130">
        <f>AI62*投資概要!$K$17</f>
        <v>818714.57379492128</v>
      </c>
      <c r="AJ63" s="130">
        <f>AJ62*投資概要!$K$17</f>
        <v>822728.27433811245</v>
      </c>
      <c r="AK63" s="130">
        <f>AK62*投資概要!$K$17</f>
        <v>820678.25434421562</v>
      </c>
      <c r="AL63" s="130">
        <f>AL62*投資概要!$K$17</f>
        <v>832923.70305106801</v>
      </c>
      <c r="AM63" s="130">
        <f>AM62*投資概要!$K$17</f>
        <v>816479.56311105099</v>
      </c>
      <c r="AN63" s="131">
        <f>AN62*投資概要!$K$17</f>
        <v>820457.98016276769</v>
      </c>
      <c r="AO63" s="132">
        <f t="shared" si="850"/>
        <v>9368384.1245207395</v>
      </c>
      <c r="AP63" s="133">
        <f>AP62*投資概要!$K$17</f>
        <v>783522.9101057403</v>
      </c>
      <c r="AQ63" s="130">
        <f>AQ62*投資概要!$K$17</f>
        <v>810646.13581455662</v>
      </c>
      <c r="AR63" s="130">
        <f>AR62*投資概要!$K$17</f>
        <v>779719.58852524683</v>
      </c>
      <c r="AS63" s="130">
        <f>AS62*投資概要!$K$17</f>
        <v>790407.99177827185</v>
      </c>
      <c r="AT63" s="130">
        <f>AT62*投資概要!$K$17</f>
        <v>795383.07868032833</v>
      </c>
      <c r="AU63" s="130">
        <f>AU62*投資概要!$K$17</f>
        <v>798365.41467604518</v>
      </c>
      <c r="AV63" s="130">
        <f>AV62*投資概要!$K$17</f>
        <v>803408.63361869601</v>
      </c>
      <c r="AW63" s="130">
        <f>AW62*投資概要!$K$17</f>
        <v>819212.43152549979</v>
      </c>
      <c r="AX63" s="130">
        <f>AX62*投資概要!$K$17</f>
        <v>829549.92929837387</v>
      </c>
      <c r="AY63" s="130">
        <f>AY62*投資概要!$K$17</f>
        <v>826272.24258241919</v>
      </c>
      <c r="AZ63" s="130">
        <f>AZ62*投資概要!$K$17</f>
        <v>826684.21010444441</v>
      </c>
      <c r="BA63" s="131">
        <f>BA62*投資概要!$K$17</f>
        <v>824230.97375256021</v>
      </c>
      <c r="BB63" s="132">
        <f t="shared" si="851"/>
        <v>9687403.540462181</v>
      </c>
      <c r="BC63" s="133">
        <f>BC62*投資概要!$K$17</f>
        <v>845601.57337566174</v>
      </c>
      <c r="BD63" s="130">
        <f>BD62*投資概要!$K$17</f>
        <v>847375.49084121257</v>
      </c>
      <c r="BE63" s="130">
        <f>BE62*投資概要!$K$17</f>
        <v>833793.40178904543</v>
      </c>
      <c r="BF63" s="130">
        <f>BF62*投資概要!$K$17</f>
        <v>842338.07993741566</v>
      </c>
      <c r="BG63" s="130">
        <f>BG62*投資概要!$K$17</f>
        <v>845248.84455648891</v>
      </c>
      <c r="BH63" s="130">
        <f>BH62*投資概要!$K$17</f>
        <v>846243.3233281445</v>
      </c>
      <c r="BI63" s="130">
        <f>BI62*投資概要!$K$17</f>
        <v>849372.32104036689</v>
      </c>
      <c r="BJ63" s="130">
        <f>BJ62*投資概要!$K$17</f>
        <v>863332.80932073772</v>
      </c>
      <c r="BK63" s="130">
        <f>BK62*投資概要!$K$17</f>
        <v>871895.28548419115</v>
      </c>
      <c r="BL63" s="130">
        <f>BL62*投資概要!$K$17</f>
        <v>866908.33866180107</v>
      </c>
      <c r="BM63" s="130">
        <f>BM62*投資概要!$K$17</f>
        <v>865674.37454760307</v>
      </c>
      <c r="BN63" s="131">
        <f>BN62*投資概要!$K$17</f>
        <v>861636.19201938796</v>
      </c>
      <c r="BO63" s="132">
        <f t="shared" si="852"/>
        <v>10239420.034902057</v>
      </c>
      <c r="BP63" s="133">
        <f>BP62*投資概要!$K$17</f>
        <v>881413.4307776778</v>
      </c>
      <c r="BQ63" s="130">
        <f>BQ62*投資概要!$K$17</f>
        <v>881522.68311134551</v>
      </c>
      <c r="BR63" s="130">
        <f>BR62*投資概要!$K$17</f>
        <v>1050005.3971975355</v>
      </c>
      <c r="BS63" s="130">
        <f>BS62*投資概要!$K$17</f>
        <v>1057187.3273321928</v>
      </c>
      <c r="BT63" s="130">
        <f>BT62*投資概要!$K$17</f>
        <v>1058785.8523223819</v>
      </c>
      <c r="BU63" s="130">
        <f>BU62*投資概要!$K$17</f>
        <v>1058516.7311842584</v>
      </c>
      <c r="BV63" s="130">
        <f>BV62*投資概要!$K$17</f>
        <v>1060428.9691809549</v>
      </c>
      <c r="BW63" s="130">
        <f>BW62*投資概要!$K$17</f>
        <v>1073217.8049978612</v>
      </c>
      <c r="BX63" s="130">
        <f>BX62*投資概要!$K$17</f>
        <v>1080652.0671268231</v>
      </c>
      <c r="BY63" s="130">
        <f>BY62*投資概要!$K$17</f>
        <v>1074578.7376225207</v>
      </c>
      <c r="BZ63" s="130">
        <f>BZ62*投資概要!$K$17</f>
        <v>1072298.6745646687</v>
      </c>
      <c r="CA63" s="131">
        <f>CA62*投資概要!$K$17</f>
        <v>1067253.1864787056</v>
      </c>
      <c r="CB63" s="132">
        <f t="shared" si="853"/>
        <v>12415860.861896927</v>
      </c>
      <c r="CC63" s="133">
        <f>CC62*投資概要!$K$17</f>
        <v>1085909.2616705282</v>
      </c>
      <c r="CD63" s="130">
        <f>CD62*投資概要!$K$17</f>
        <v>1084960.5032350023</v>
      </c>
      <c r="CE63" s="130">
        <f>CE62*投資概要!$K$17</f>
        <v>1069063.8911138505</v>
      </c>
      <c r="CF63" s="130">
        <f>CF62*投資概要!$K$17</f>
        <v>1075379.8584221262</v>
      </c>
      <c r="CG63" s="130">
        <f>CG62*投資概要!$K$17</f>
        <v>1076144.549668984</v>
      </c>
      <c r="CH63" s="130">
        <f>CH62*投資概要!$K$17</f>
        <v>1075072.5352419368</v>
      </c>
      <c r="CI63" s="130">
        <f>CI62*投資概要!$K$17</f>
        <v>1076211.6757549811</v>
      </c>
      <c r="CJ63" s="130">
        <f>CJ62*投資概要!$K$17</f>
        <v>1088139.705885764</v>
      </c>
      <c r="CK63" s="130">
        <f>CK62*投資概要!$K$17</f>
        <v>1094740.6003225071</v>
      </c>
      <c r="CL63" s="130">
        <f>CL62*投資概要!$K$17</f>
        <v>1087860.3185610911</v>
      </c>
      <c r="CM63" s="130">
        <f>CM62*投資概要!$K$17</f>
        <v>1084798.7339448475</v>
      </c>
      <c r="CN63" s="131">
        <f>CN62*投資概要!$K$17</f>
        <v>1078996.206685805</v>
      </c>
      <c r="CO63" s="132">
        <f t="shared" si="854"/>
        <v>12977277.840507427</v>
      </c>
      <c r="CP63" s="133">
        <f>CP62*投資概要!$K$17</f>
        <v>1096708.6931171389</v>
      </c>
      <c r="CQ63" s="130">
        <f>CQ62*投資概要!$K$17</f>
        <v>1094970.2546501162</v>
      </c>
      <c r="CR63" s="130">
        <f>CR62*投資概要!$K$17</f>
        <v>1078384.7049433442</v>
      </c>
      <c r="CS63" s="130">
        <f>CS62*投資概要!$K$17</f>
        <v>1084032.7618109235</v>
      </c>
      <c r="CT63" s="130">
        <f>CT62*投資概要!$K$17</f>
        <v>1084149.7843184019</v>
      </c>
      <c r="CU63" s="130">
        <f>CU62*投資概要!$K$17</f>
        <v>1082449.586458704</v>
      </c>
      <c r="CV63" s="130">
        <f>CV62*投資概要!$K$17</f>
        <v>1082979.3004254142</v>
      </c>
      <c r="CW63" s="130">
        <f>CW62*投資概要!$K$17</f>
        <v>1094432.3611257565</v>
      </c>
      <c r="CX63" s="130">
        <f>CX62*投資概要!$K$17</f>
        <v>1100575.8600009857</v>
      </c>
      <c r="CY63" s="130">
        <f>CY62*投資概要!$K$17</f>
        <v>1093255.1063138321</v>
      </c>
      <c r="CZ63" s="130">
        <f>CZ62*投資概要!$K$17</f>
        <v>1089769.3472331029</v>
      </c>
      <c r="DA63" s="131">
        <f>DA62*投資概要!$K$17</f>
        <v>1083558.3399647605</v>
      </c>
      <c r="DB63" s="132">
        <f>SUM(CP63:DA63)</f>
        <v>13065266.10036248</v>
      </c>
      <c r="DC63" s="133">
        <f>DC62*投資概要!$K$17</f>
        <v>1100624.1777433529</v>
      </c>
      <c r="DD63" s="130">
        <f>DD62*投資概要!$K$17</f>
        <v>1098456.7406342174</v>
      </c>
      <c r="DE63" s="130">
        <f>DE62*投資概要!$K$17</f>
        <v>1081506.3952625182</v>
      </c>
      <c r="DF63" s="130">
        <f>DF62*投資概要!$K$17</f>
        <v>1086803.1539047719</v>
      </c>
      <c r="DG63" s="130">
        <f>DG62*投資概要!$K$17</f>
        <v>1086581.8762212624</v>
      </c>
      <c r="DH63" s="130">
        <f>DH62*投資概要!$K$17</f>
        <v>1084555.8952776424</v>
      </c>
      <c r="DI63" s="130">
        <f>DI62*投資概要!$K$17</f>
        <v>1084771.8801345362</v>
      </c>
      <c r="DJ63" s="130">
        <f>DJ62*投資概要!$K$17</f>
        <v>1095922.8197021254</v>
      </c>
      <c r="DK63" s="130">
        <f>DK62*投資概要!$K$17</f>
        <v>1101775.3759265137</v>
      </c>
      <c r="DL63" s="130">
        <f>DL62*投資概要!$K$17</f>
        <v>1094174.444466599</v>
      </c>
      <c r="DM63" s="130">
        <f>DM62*投資概要!$K$17</f>
        <v>1090418.8741907012</v>
      </c>
      <c r="DN63" s="131">
        <f>DN62*投資概要!$K$17</f>
        <v>1083948.0387414121</v>
      </c>
      <c r="DO63" s="132">
        <f>SUM(DC63:DN63)</f>
        <v>13089539.672205651</v>
      </c>
      <c r="DP63" s="133">
        <f>DP62*投資概要!$K$17</f>
        <v>1100476.9423501061</v>
      </c>
      <c r="DQ63" s="130">
        <f>DQ62*投資概要!$K$17</f>
        <v>1098036.625456719</v>
      </c>
      <c r="DR63" s="130">
        <f>DR62*投資概要!$K$17</f>
        <v>1080854.2388788951</v>
      </c>
      <c r="DS63" s="130">
        <f>DS62*投資概要!$K$17</f>
        <v>1085927.5418396511</v>
      </c>
      <c r="DT63" s="130">
        <f>DT62*投資概要!$K$17</f>
        <v>1085491.076334859</v>
      </c>
      <c r="DU63" s="130">
        <f>DU62*投資概要!$K$17</f>
        <v>1083257.8695193445</v>
      </c>
      <c r="DV63" s="130">
        <f>DV62*投資概要!$K$17</f>
        <v>1083274.2958616039</v>
      </c>
      <c r="DW63" s="130">
        <f>DW62*投資概要!$K$17</f>
        <v>1094233.0605795991</v>
      </c>
      <c r="DX63" s="130">
        <f>DX62*投資概要!$K$17</f>
        <v>1099900.5524238292</v>
      </c>
      <c r="DY63" s="130">
        <f>DY62*投資概要!$K$17</f>
        <v>1092121.4039658222</v>
      </c>
      <c r="DZ63" s="130">
        <f>DZ62*投資概要!$K$17</f>
        <v>1088194.2107207619</v>
      </c>
      <c r="EA63" s="131">
        <f>EA62*投資概要!$K$17</f>
        <v>1081558.1023521686</v>
      </c>
      <c r="EB63" s="134">
        <f>SUM(DP63:EA63)</f>
        <v>13073325.92028336</v>
      </c>
    </row>
    <row r="64" spans="1:132" s="338" customFormat="1" ht="36" customHeight="1">
      <c r="A64" s="365" t="s">
        <v>153</v>
      </c>
      <c r="B64" s="365"/>
      <c r="C64" s="127">
        <f>C62</f>
        <v>-266304.68333333335</v>
      </c>
      <c r="D64" s="127">
        <f t="shared" ref="D64:N64" si="955">D62</f>
        <v>-670446.32333333336</v>
      </c>
      <c r="E64" s="127">
        <f t="shared" si="955"/>
        <v>-3174867.9633333334</v>
      </c>
      <c r="F64" s="127">
        <f t="shared" si="955"/>
        <v>-3174867.9633333334</v>
      </c>
      <c r="G64" s="127">
        <f t="shared" si="955"/>
        <v>-350490.36333333352</v>
      </c>
      <c r="H64" s="127">
        <f t="shared" si="955"/>
        <v>-199411.96333333361</v>
      </c>
      <c r="I64" s="127">
        <f t="shared" si="955"/>
        <v>100358.40466666665</v>
      </c>
      <c r="J64" s="127">
        <f t="shared" si="955"/>
        <v>350380.64718268102</v>
      </c>
      <c r="K64" s="127">
        <f t="shared" si="955"/>
        <v>637401.98620882945</v>
      </c>
      <c r="L64" s="127">
        <f t="shared" si="955"/>
        <v>804597.4147935427</v>
      </c>
      <c r="M64" s="127">
        <f t="shared" si="955"/>
        <v>833750.24730079249</v>
      </c>
      <c r="N64" s="127">
        <f t="shared" si="955"/>
        <v>863417.12005306664</v>
      </c>
      <c r="O64" s="128">
        <f>SUM(C64:N64)</f>
        <v>-4246483.4397944221</v>
      </c>
      <c r="P64" s="127">
        <f>P62-P63</f>
        <v>868826.05926889321</v>
      </c>
      <c r="Q64" s="127">
        <f t="shared" ref="Q64:AA64" si="956">Q62-Q63</f>
        <v>1123271.2982929484</v>
      </c>
      <c r="R64" s="127">
        <f t="shared" si="956"/>
        <v>882967.24446135806</v>
      </c>
      <c r="S64" s="127">
        <f t="shared" si="956"/>
        <v>985725.61299546156</v>
      </c>
      <c r="T64" s="127">
        <f t="shared" si="956"/>
        <v>1077199.9537500911</v>
      </c>
      <c r="U64" s="127">
        <f t="shared" si="956"/>
        <v>1104090.8186114104</v>
      </c>
      <c r="V64" s="127">
        <f t="shared" si="956"/>
        <v>1316930.4903744659</v>
      </c>
      <c r="W64" s="127">
        <f t="shared" si="956"/>
        <v>1333467.2645062492</v>
      </c>
      <c r="X64" s="127">
        <f t="shared" si="956"/>
        <v>1417520.1244157846</v>
      </c>
      <c r="Y64" s="127">
        <f t="shared" si="956"/>
        <v>1472704.5482723168</v>
      </c>
      <c r="Z64" s="127">
        <f t="shared" si="956"/>
        <v>1414117.1615152252</v>
      </c>
      <c r="AA64" s="127">
        <f t="shared" si="956"/>
        <v>1555905.3941810774</v>
      </c>
      <c r="AB64" s="128">
        <f t="shared" si="849"/>
        <v>14552725.970645282</v>
      </c>
      <c r="AC64" s="127">
        <f>AC62-AC63</f>
        <v>1339244.1091055698</v>
      </c>
      <c r="AD64" s="127">
        <f t="shared" ref="AD64" si="957">AD62-AD63</f>
        <v>1716194.7993705138</v>
      </c>
      <c r="AE64" s="127">
        <f t="shared" ref="AE64" si="958">AE62-AE63</f>
        <v>1700068.4957232662</v>
      </c>
      <c r="AF64" s="127">
        <f t="shared" ref="AF64" si="959">AF62-AF63</f>
        <v>1893458.0696566496</v>
      </c>
      <c r="AG64" s="127">
        <f t="shared" ref="AG64" si="960">AG62-AG63</f>
        <v>1809066.0594816026</v>
      </c>
      <c r="AH64" s="127">
        <f t="shared" ref="AH64" si="961">AH62-AH63</f>
        <v>1893572.6100058095</v>
      </c>
      <c r="AI64" s="127">
        <f t="shared" ref="AI64" si="962">AI62-AI63</f>
        <v>1910334.0055214828</v>
      </c>
      <c r="AJ64" s="127">
        <f t="shared" ref="AJ64" si="963">AJ62-AJ63</f>
        <v>1919699.306788929</v>
      </c>
      <c r="AK64" s="127">
        <f t="shared" ref="AK64" si="964">AK62-AK63</f>
        <v>1914915.9268031698</v>
      </c>
      <c r="AL64" s="127">
        <f t="shared" ref="AL64" si="965">AL62-AL63</f>
        <v>1943488.6404524921</v>
      </c>
      <c r="AM64" s="127">
        <f t="shared" ref="AM64" si="966">AM62-AM63</f>
        <v>1905118.9805924525</v>
      </c>
      <c r="AN64" s="127">
        <f t="shared" ref="AN64" si="967">AN62-AN63</f>
        <v>1914401.9537131246</v>
      </c>
      <c r="AO64" s="128">
        <f t="shared" si="850"/>
        <v>21859562.957215063</v>
      </c>
      <c r="AP64" s="127">
        <f>AP62-AP63</f>
        <v>1828220.1235800609</v>
      </c>
      <c r="AQ64" s="127">
        <f t="shared" ref="AQ64" si="968">AQ62-AQ63</f>
        <v>1891507.6502339656</v>
      </c>
      <c r="AR64" s="127">
        <f t="shared" ref="AR64" si="969">AR62-AR63</f>
        <v>1819345.7065589093</v>
      </c>
      <c r="AS64" s="127">
        <f t="shared" ref="AS64" si="970">AS62-AS63</f>
        <v>1844285.314149301</v>
      </c>
      <c r="AT64" s="127">
        <f t="shared" ref="AT64" si="971">AT62-AT63</f>
        <v>1855893.8502540996</v>
      </c>
      <c r="AU64" s="127">
        <f t="shared" ref="AU64" si="972">AU62-AU63</f>
        <v>1862852.6342441058</v>
      </c>
      <c r="AV64" s="127">
        <f t="shared" ref="AV64" si="973">AV62-AV63</f>
        <v>1874620.1451102905</v>
      </c>
      <c r="AW64" s="127">
        <f t="shared" ref="AW64" si="974">AW62-AW63</f>
        <v>1911495.6735594997</v>
      </c>
      <c r="AX64" s="127">
        <f t="shared" ref="AX64" si="975">AX62-AX63</f>
        <v>1935616.5016962057</v>
      </c>
      <c r="AY64" s="127">
        <f t="shared" ref="AY64" si="976">AY62-AY63</f>
        <v>1927968.5660256448</v>
      </c>
      <c r="AZ64" s="127">
        <f t="shared" ref="AZ64" si="977">AZ62-AZ63</f>
        <v>1928929.8235770371</v>
      </c>
      <c r="BA64" s="127">
        <f t="shared" ref="BA64" si="978">BA62-BA63</f>
        <v>1923205.6054226407</v>
      </c>
      <c r="BB64" s="128">
        <f t="shared" si="851"/>
        <v>22603941.594411764</v>
      </c>
      <c r="BC64" s="127">
        <f>BC62-BC63</f>
        <v>1973070.3378765439</v>
      </c>
      <c r="BD64" s="127">
        <f t="shared" ref="BD64" si="979">BD62-BD63</f>
        <v>1977209.4786294959</v>
      </c>
      <c r="BE64" s="127">
        <f t="shared" ref="BE64" si="980">BE62-BE63</f>
        <v>1945517.9375077728</v>
      </c>
      <c r="BF64" s="127">
        <f t="shared" ref="BF64" si="981">BF62-BF63</f>
        <v>1965455.51985397</v>
      </c>
      <c r="BG64" s="127">
        <f t="shared" ref="BG64" si="982">BG62-BG63</f>
        <v>1972247.3039651406</v>
      </c>
      <c r="BH64" s="127">
        <f t="shared" ref="BH64" si="983">BH62-BH63</f>
        <v>1974567.7544323374</v>
      </c>
      <c r="BI64" s="127">
        <f t="shared" ref="BI64" si="984">BI62-BI63</f>
        <v>1981868.7490941896</v>
      </c>
      <c r="BJ64" s="127">
        <f t="shared" ref="BJ64" si="985">BJ62-BJ63</f>
        <v>2014443.2217483884</v>
      </c>
      <c r="BK64" s="127">
        <f t="shared" ref="BK64" si="986">BK62-BK63</f>
        <v>2034422.332796446</v>
      </c>
      <c r="BL64" s="127">
        <f t="shared" ref="BL64" si="987">BL62-BL63</f>
        <v>2022786.1235442027</v>
      </c>
      <c r="BM64" s="127">
        <f t="shared" ref="BM64" si="988">BM62-BM63</f>
        <v>2019906.8739444073</v>
      </c>
      <c r="BN64" s="127">
        <f t="shared" ref="BN64" si="989">BN62-BN63</f>
        <v>2010484.4480452384</v>
      </c>
      <c r="BO64" s="128">
        <f t="shared" si="852"/>
        <v>23891980.081438132</v>
      </c>
      <c r="BP64" s="127">
        <f>BP62-BP63</f>
        <v>2056631.3384812484</v>
      </c>
      <c r="BQ64" s="127">
        <f t="shared" ref="BQ64" si="990">BQ62-BQ63</f>
        <v>2056886.2605931396</v>
      </c>
      <c r="BR64" s="127">
        <f t="shared" ref="BR64" si="991">BR62-BR63</f>
        <v>2450012.5934609165</v>
      </c>
      <c r="BS64" s="127">
        <f t="shared" ref="BS64" si="992">BS62-BS63</f>
        <v>2466770.4304417828</v>
      </c>
      <c r="BT64" s="127">
        <f t="shared" ref="BT64" si="993">BT62-BT63</f>
        <v>2470500.322085558</v>
      </c>
      <c r="BU64" s="127">
        <f t="shared" ref="BU64" si="994">BU62-BU63</f>
        <v>2469872.3727632696</v>
      </c>
      <c r="BV64" s="127">
        <f t="shared" ref="BV64" si="995">BV62-BV63</f>
        <v>2474334.2614222281</v>
      </c>
      <c r="BW64" s="127">
        <f t="shared" ref="BW64" si="996">BW62-BW63</f>
        <v>2504174.8783283429</v>
      </c>
      <c r="BX64" s="127">
        <f t="shared" ref="BX64" si="997">BX62-BX63</f>
        <v>2521521.4899625876</v>
      </c>
      <c r="BY64" s="127">
        <f t="shared" ref="BY64" si="998">BY62-BY63</f>
        <v>2507350.3877858818</v>
      </c>
      <c r="BZ64" s="127">
        <f t="shared" ref="BZ64" si="999">BZ62-BZ63</f>
        <v>2502030.2406508941</v>
      </c>
      <c r="CA64" s="127">
        <f t="shared" ref="CA64" si="1000">CA62-CA63</f>
        <v>2490257.4351169802</v>
      </c>
      <c r="CB64" s="128">
        <f t="shared" si="853"/>
        <v>28970342.01109283</v>
      </c>
      <c r="CC64" s="127">
        <f>CC62-CC63</f>
        <v>2533788.2772312332</v>
      </c>
      <c r="CD64" s="127">
        <f t="shared" ref="CD64" si="1001">CD62-CD63</f>
        <v>2531574.5075483387</v>
      </c>
      <c r="CE64" s="127">
        <f t="shared" ref="CE64" si="1002">CE62-CE63</f>
        <v>2494482.4125989852</v>
      </c>
      <c r="CF64" s="127">
        <f t="shared" ref="CF64" si="1003">CF62-CF63</f>
        <v>2509219.669651628</v>
      </c>
      <c r="CG64" s="127">
        <f t="shared" ref="CG64" si="1004">CG62-CG63</f>
        <v>2511003.9492276292</v>
      </c>
      <c r="CH64" s="127">
        <f t="shared" ref="CH64" si="1005">CH62-CH63</f>
        <v>2508502.5822311863</v>
      </c>
      <c r="CI64" s="127">
        <f t="shared" ref="CI64" si="1006">CI62-CI63</f>
        <v>2511160.5767616229</v>
      </c>
      <c r="CJ64" s="127">
        <f t="shared" ref="CJ64" si="1007">CJ62-CJ63</f>
        <v>2538992.6470667822</v>
      </c>
      <c r="CK64" s="127">
        <f t="shared" ref="CK64" si="1008">CK62-CK63</f>
        <v>2554394.7340858495</v>
      </c>
      <c r="CL64" s="127">
        <f t="shared" ref="CL64" si="1009">CL62-CL63</f>
        <v>2538340.7433092124</v>
      </c>
      <c r="CM64" s="127">
        <f t="shared" ref="CM64" si="1010">CM62-CM63</f>
        <v>2531197.0458713109</v>
      </c>
      <c r="CN64" s="127">
        <f t="shared" ref="CN64" si="1011">CN62-CN63</f>
        <v>2517657.8156002117</v>
      </c>
      <c r="CO64" s="128">
        <f t="shared" si="854"/>
        <v>30280314.961183991</v>
      </c>
      <c r="CP64" s="127">
        <f>CP62-CP63</f>
        <v>2558986.9506066577</v>
      </c>
      <c r="CQ64" s="127">
        <f t="shared" ref="CQ64" si="1012">CQ62-CQ63</f>
        <v>2554930.5941836042</v>
      </c>
      <c r="CR64" s="127">
        <f t="shared" ref="CR64" si="1013">CR62-CR63</f>
        <v>2516230.9782011369</v>
      </c>
      <c r="CS64" s="127">
        <f t="shared" ref="CS64" si="1014">CS62-CS63</f>
        <v>2529409.7775588217</v>
      </c>
      <c r="CT64" s="127">
        <f t="shared" ref="CT64" si="1015">CT62-CT63</f>
        <v>2529682.8300762717</v>
      </c>
      <c r="CU64" s="127">
        <f t="shared" ref="CU64" si="1016">CU62-CU63</f>
        <v>2525715.7017369759</v>
      </c>
      <c r="CV64" s="127">
        <f t="shared" ref="CV64" si="1017">CV62-CV63</f>
        <v>2526951.7009926336</v>
      </c>
      <c r="CW64" s="127">
        <f t="shared" ref="CW64" si="1018">CW62-CW63</f>
        <v>2553675.5092934323</v>
      </c>
      <c r="CX64" s="127">
        <f t="shared" ref="CX64" si="1019">CX62-CX63</f>
        <v>2568010.3400023002</v>
      </c>
      <c r="CY64" s="127">
        <f t="shared" ref="CY64" si="1020">CY62-CY63</f>
        <v>2550928.5813989416</v>
      </c>
      <c r="CZ64" s="127">
        <f t="shared" ref="CZ64" si="1021">CZ62-CZ63</f>
        <v>2542795.1435439074</v>
      </c>
      <c r="DA64" s="127">
        <f t="shared" ref="DA64" si="1022">DA62-DA63</f>
        <v>2528302.7932511079</v>
      </c>
      <c r="DB64" s="128">
        <f>SUM(CP64:DA64)</f>
        <v>30485620.900845792</v>
      </c>
      <c r="DC64" s="127">
        <f>DC62-DC63</f>
        <v>2568123.0814011567</v>
      </c>
      <c r="DD64" s="127">
        <f t="shared" ref="DD64" si="1023">DD62-DD63</f>
        <v>2563065.7281465074</v>
      </c>
      <c r="DE64" s="127">
        <f t="shared" ref="DE64" si="1024">DE62-DE63</f>
        <v>2523514.9222792098</v>
      </c>
      <c r="DF64" s="127">
        <f t="shared" ref="DF64" si="1025">DF62-DF63</f>
        <v>2535874.0257778014</v>
      </c>
      <c r="DG64" s="127">
        <f t="shared" ref="DG64" si="1026">DG62-DG63</f>
        <v>2535357.7111829454</v>
      </c>
      <c r="DH64" s="127">
        <f t="shared" ref="DH64" si="1027">DH62-DH63</f>
        <v>2530630.4223144986</v>
      </c>
      <c r="DI64" s="127">
        <f t="shared" ref="DI64" si="1028">DI62-DI63</f>
        <v>2531134.3869805848</v>
      </c>
      <c r="DJ64" s="127">
        <f t="shared" ref="DJ64" si="1029">DJ62-DJ63</f>
        <v>2557153.2459716266</v>
      </c>
      <c r="DK64" s="127">
        <f t="shared" ref="DK64" si="1030">DK62-DK63</f>
        <v>2570809.2104951986</v>
      </c>
      <c r="DL64" s="127">
        <f t="shared" ref="DL64" si="1031">DL62-DL63</f>
        <v>2553073.7037553973</v>
      </c>
      <c r="DM64" s="127">
        <f t="shared" ref="DM64" si="1032">DM62-DM63</f>
        <v>2544310.7064449694</v>
      </c>
      <c r="DN64" s="127">
        <f t="shared" ref="DN64" si="1033">DN62-DN63</f>
        <v>2529212.0903966287</v>
      </c>
      <c r="DO64" s="128">
        <f>SUM(DC64:DN64)</f>
        <v>30542259.23514653</v>
      </c>
      <c r="DP64" s="127">
        <f>DP62-DP63</f>
        <v>2567779.5321502471</v>
      </c>
      <c r="DQ64" s="127">
        <f t="shared" ref="DQ64" si="1034">DQ62-DQ63</f>
        <v>2562085.459399011</v>
      </c>
      <c r="DR64" s="127">
        <f t="shared" ref="DR64" si="1035">DR62-DR63</f>
        <v>2521993.2240507551</v>
      </c>
      <c r="DS64" s="127">
        <f t="shared" ref="DS64" si="1036">DS62-DS63</f>
        <v>2533830.9309591865</v>
      </c>
      <c r="DT64" s="127">
        <f t="shared" ref="DT64" si="1037">DT62-DT63</f>
        <v>2532812.5114480043</v>
      </c>
      <c r="DU64" s="127">
        <f t="shared" ref="DU64" si="1038">DU62-DU63</f>
        <v>2527601.6955451374</v>
      </c>
      <c r="DV64" s="127">
        <f t="shared" ref="DV64" si="1039">DV62-DV63</f>
        <v>2527640.0236770762</v>
      </c>
      <c r="DW64" s="127">
        <f t="shared" ref="DW64" si="1040">DW62-DW63</f>
        <v>2553210.4746857313</v>
      </c>
      <c r="DX64" s="127">
        <f t="shared" ref="DX64" si="1041">DX62-DX63</f>
        <v>2566434.6223222683</v>
      </c>
      <c r="DY64" s="127">
        <f t="shared" ref="DY64" si="1042">DY62-DY63</f>
        <v>2548283.2759202523</v>
      </c>
      <c r="DZ64" s="127">
        <f t="shared" ref="DZ64" si="1043">DZ62-DZ63</f>
        <v>2539119.8250151109</v>
      </c>
      <c r="EA64" s="127">
        <f t="shared" ref="EA64" si="1044">EA62-EA63</f>
        <v>2523635.5721550602</v>
      </c>
      <c r="EB64" s="129">
        <f>SUM(DP64:EA64)</f>
        <v>30504427.14732784</v>
      </c>
    </row>
    <row r="65" spans="1:132" s="95" customFormat="1" ht="36" customHeight="1">
      <c r="A65" s="367" t="s">
        <v>155</v>
      </c>
      <c r="B65" s="367"/>
      <c r="C65" s="135">
        <f>IF(C2&lt;=6,
    0,
    IF(C2&gt;投資概要!$K$11+6, 0,
        PPMT(投資概要!$K$10 / 12, C2 - 6, 投資概要!$K$11, -投資概要!$K$9)
    )
)</f>
        <v>0</v>
      </c>
      <c r="D65" s="135">
        <f>IF(D2&lt;=6,
    0,
    PPMT(投資概要!$K$10 / 12, D2 - 6, 投資概要!$K$11, -投資概要!$K$9)
)</f>
        <v>0</v>
      </c>
      <c r="E65" s="135">
        <f>IF(E2&lt;=6,
    0,
    PPMT(投資概要!$K$10 / 12, E2 - 6, 投資概要!$K$11, -投資概要!$K$9)
)</f>
        <v>0</v>
      </c>
      <c r="F65" s="135">
        <f>IF(F2&lt;=6,
    0,
    PPMT(投資概要!$K$10 / 12, F2 - 6, 投資概要!$K$11, -投資概要!$K$9)
)</f>
        <v>0</v>
      </c>
      <c r="G65" s="135">
        <f>IF(G2&lt;=6,
    0,
    PPMT(投資概要!$K$10 / 12, G2 - 6, 投資概要!$K$11, -投資概要!$K$9)
)</f>
        <v>0</v>
      </c>
      <c r="H65" s="135">
        <f>IF(H2&lt;=6,
    0,
    PPMT(投資概要!$K$10 / 12, H2 - 6, 投資概要!$K$11, -投資概要!$K$9)
)</f>
        <v>0</v>
      </c>
      <c r="I65" s="135">
        <f>IF(I2&lt;=6,
    0,
    PPMT(投資概要!$K$10 / 12, I2 - 6, 投資概要!$K$11, -投資概要!$K$9)
)</f>
        <v>206498.73840872216</v>
      </c>
      <c r="J65" s="135">
        <f>IF(J2&lt;=6,
    0,
    PPMT(投資概要!$K$10 / 12, J2 - 6, 投資概要!$K$11, -投資概要!$K$9)
)</f>
        <v>206842.90297273669</v>
      </c>
      <c r="K65" s="135">
        <f>IF(K2&lt;=6,
    0,
    PPMT(投資概要!$K$10 / 12, K2 - 6, 投資概要!$K$11, -投資概要!$K$9)
)</f>
        <v>207187.64114435791</v>
      </c>
      <c r="L65" s="135">
        <f>IF(L2&lt;=6,
    0,
    PPMT(投資概要!$K$10 / 12, L2 - 6, 投資概要!$K$11, -投資概要!$K$9)
)</f>
        <v>207532.95387959853</v>
      </c>
      <c r="M65" s="135">
        <f>IF(M2&lt;=6,
    0,
    PPMT(投資概要!$K$10 / 12, M2 - 6, 投資概要!$K$11, -投資概要!$K$9)
)</f>
        <v>207878.84213606452</v>
      </c>
      <c r="N65" s="136">
        <f>IF(N2&lt;=6,
    0,
    PPMT(投資概要!$K$10 / 12, N2 - 6, 投資概要!$K$11, -投資概要!$K$9)
)</f>
        <v>208225.30687295797</v>
      </c>
      <c r="O65" s="137">
        <f>SUM(C65:N65)</f>
        <v>1244166.3854144379</v>
      </c>
      <c r="P65" s="138">
        <f>IF(P2&lt;=6,
    0,
    PPMT(投資概要!$K$10 / 12, P2 - 6, 投資概要!$K$11, -投資概要!$K$9)
)</f>
        <v>208572.34905107954</v>
      </c>
      <c r="Q65" s="135">
        <f>IF(Q2&lt;=6,
    0,
    PPMT(投資概要!$K$10 / 12, Q2 - 6, 投資概要!$K$11, -投資概要!$K$9)
)</f>
        <v>208919.96963283134</v>
      </c>
      <c r="R65" s="135">
        <f>IF(R2&lt;=6,
    0,
    PPMT(投資概要!$K$10 / 12, R2 - 6, 投資概要!$K$11, -投資概要!$K$9)
)</f>
        <v>209268.16958221939</v>
      </c>
      <c r="S65" s="135">
        <f>IF(S2&lt;=6,
    0,
    PPMT(投資概要!$K$10 / 12, S2 - 6, 投資概要!$K$11, -投資概要!$K$9)
)</f>
        <v>209616.9498648564</v>
      </c>
      <c r="T65" s="135">
        <f>IF(T2&lt;=6,
    0,
    PPMT(投資概要!$K$10 / 12, T2 - 6, 投資概要!$K$11, -投資概要!$K$9)
)</f>
        <v>209966.31144796452</v>
      </c>
      <c r="U65" s="135">
        <f>IF(U2&lt;=6,
    0,
    PPMT(投資概要!$K$10 / 12, U2 - 6, 投資概要!$K$11, -投資概要!$K$9)
)</f>
        <v>210316.25530037779</v>
      </c>
      <c r="V65" s="135">
        <f>IF(V2&lt;=6,
    0,
    PPMT(投資概要!$K$10 / 12, V2 - 6, 投資概要!$K$11, -投資概要!$K$9)
)</f>
        <v>210666.78239254511</v>
      </c>
      <c r="W65" s="135">
        <f>IF(W2&lt;=6,
    0,
    PPMT(投資概要!$K$10 / 12, W2 - 6, 投資概要!$K$11, -投資概要!$K$9)
)</f>
        <v>211017.89369653267</v>
      </c>
      <c r="X65" s="135">
        <f>IF(X2&lt;=6,
    0,
    PPMT(投資概要!$K$10 / 12, X2 - 6, 投資概要!$K$11, -投資概要!$K$9)
)</f>
        <v>211369.59018602691</v>
      </c>
      <c r="Y65" s="135">
        <f>IF(Y2&lt;=6,
    0,
    PPMT(投資概要!$K$10 / 12, Y2 - 6, 投資概要!$K$11, -投資概要!$K$9)
)</f>
        <v>211721.87283633693</v>
      </c>
      <c r="Z65" s="135">
        <f>IF(Z2&lt;=6,
    0,
    PPMT(投資概要!$K$10 / 12, Z2 - 6, 投資概要!$K$11, -投資概要!$K$9)
)</f>
        <v>212074.74262439748</v>
      </c>
      <c r="AA65" s="136">
        <f>IF(AA2&lt;=6,
    0,
    PPMT(投資概要!$K$10 / 12, AA2 - 6, 投資概要!$K$11, -投資概要!$K$9)
)</f>
        <v>212428.2005287715</v>
      </c>
      <c r="AB65" s="137">
        <f t="shared" si="849"/>
        <v>2525939.0871439395</v>
      </c>
      <c r="AC65" s="138">
        <f>IF(AC2&lt;=6,
    0,
    PPMT(投資概要!$K$10 / 12, AC2 - 6, 投資概要!$K$11, -投資概要!$K$9)
)</f>
        <v>212782.24752965278</v>
      </c>
      <c r="AD65" s="135">
        <f>IF(AD2&lt;=6,
    0,
    PPMT(投資概要!$K$10 / 12, AD2 - 6, 投資概要!$K$11, -投資概要!$K$9)
)</f>
        <v>213136.88460886886</v>
      </c>
      <c r="AE65" s="135">
        <f>IF(AE2&lt;=6,
    0,
    PPMT(投資概要!$K$10 / 12, AE2 - 6, 投資概要!$K$11, -投資概要!$K$9)
)</f>
        <v>213492.11274988364</v>
      </c>
      <c r="AF65" s="135">
        <f>IF(AF2&lt;=6,
    0,
    PPMT(投資概要!$K$10 / 12, AF2 - 6, 投資概要!$K$11, -投資概要!$K$9)
)</f>
        <v>213847.9329378001</v>
      </c>
      <c r="AG65" s="135">
        <f>IF(AG2&lt;=6,
    0,
    PPMT(投資概要!$K$10 / 12, AG2 - 6, 投資概要!$K$11, -投資概要!$K$9)
)</f>
        <v>214204.34615936311</v>
      </c>
      <c r="AH65" s="135">
        <f>IF(AH2&lt;=6,
    0,
    PPMT(投資概要!$K$10 / 12, AH2 - 6, 投資概要!$K$11, -投資概要!$K$9)
)</f>
        <v>214561.35340296206</v>
      </c>
      <c r="AI65" s="135">
        <f>IF(AI2&lt;=6,
    0,
    PPMT(投資概要!$K$10 / 12, AI2 - 6, 投資概要!$K$11, -投資概要!$K$9)
)</f>
        <v>214918.95565863364</v>
      </c>
      <c r="AJ65" s="135">
        <f>IF(AJ2&lt;=6,
    0,
    PPMT(投資概要!$K$10 / 12, AJ2 - 6, 投資概要!$K$11, -投資概要!$K$9)
)</f>
        <v>215277.15391806472</v>
      </c>
      <c r="AK65" s="135">
        <f>IF(AK2&lt;=6,
    0,
    PPMT(投資概要!$K$10 / 12, AK2 - 6, 投資概要!$K$11, -投資概要!$K$9)
)</f>
        <v>215635.94917459483</v>
      </c>
      <c r="AL65" s="135">
        <f>IF(AL2&lt;=6,
    0,
    PPMT(投資概要!$K$10 / 12, AL2 - 6, 投資概要!$K$11, -投資概要!$K$9)
)</f>
        <v>215995.34242321915</v>
      </c>
      <c r="AM65" s="135">
        <f>IF(AM2&lt;=6,
    0,
    PPMT(投資概要!$K$10 / 12, AM2 - 6, 投資概要!$K$11, -投資概要!$K$9)
)</f>
        <v>216355.33466059118</v>
      </c>
      <c r="AN65" s="136">
        <f>IF(AN2&lt;=6,
    0,
    PPMT(投資概要!$K$10 / 12, AN2 - 6, 投資概要!$K$11, -投資概要!$K$9)
)</f>
        <v>216715.92688502549</v>
      </c>
      <c r="AO65" s="137">
        <f t="shared" si="850"/>
        <v>2576923.5401086593</v>
      </c>
      <c r="AP65" s="138">
        <f>IF(AP2&lt;=6,
    0,
    PPMT(投資概要!$K$10 / 12, AP2 - 6, 投資概要!$K$11, -投資概要!$K$9)
)</f>
        <v>217077.12009650056</v>
      </c>
      <c r="AQ65" s="135">
        <f>IF(AQ2&lt;=6,
    0,
    PPMT(投資概要!$K$10 / 12, AQ2 - 6, 投資概要!$K$11, -投資概要!$K$9)
)</f>
        <v>217438.91529666138</v>
      </c>
      <c r="AR65" s="135">
        <f>IF(AR2&lt;=6,
    0,
    PPMT(投資概要!$K$10 / 12, AR2 - 6, 投資概要!$K$11, -投資概要!$K$9)
)</f>
        <v>217801.31348882249</v>
      </c>
      <c r="AS65" s="135">
        <f>IF(AS2&lt;=6,
    0,
    PPMT(投資概要!$K$10 / 12, AS2 - 6, 投資概要!$K$11, -投資概要!$K$9)
)</f>
        <v>218164.31567797053</v>
      </c>
      <c r="AT65" s="135">
        <f>IF(AT2&lt;=6,
    0,
    PPMT(投資概要!$K$10 / 12, AT2 - 6, 投資概要!$K$11, -投資概要!$K$9)
)</f>
        <v>218527.92287076713</v>
      </c>
      <c r="AU65" s="135">
        <f>IF(AU2&lt;=6,
    0,
    PPMT(投資概要!$K$10 / 12, AU2 - 6, 投資概要!$K$11, -投資概要!$K$9)
)</f>
        <v>218892.13607555174</v>
      </c>
      <c r="AV65" s="135">
        <f>IF(AV2&lt;=6,
    0,
    PPMT(投資概要!$K$10 / 12, AV2 - 6, 投資概要!$K$11, -投資概要!$K$9)
)</f>
        <v>219256.9563023443</v>
      </c>
      <c r="AW65" s="135">
        <f>IF(AW2&lt;=6,
    0,
    PPMT(投資概要!$K$10 / 12, AW2 - 6, 投資概要!$K$11, -投資概要!$K$9)
)</f>
        <v>219622.38456284825</v>
      </c>
      <c r="AX65" s="135">
        <f>IF(AX2&lt;=6,
    0,
    PPMT(投資概要!$K$10 / 12, AX2 - 6, 投資概要!$K$11, -投資概要!$K$9)
)</f>
        <v>219988.42187045299</v>
      </c>
      <c r="AY65" s="135">
        <f>IF(AY2&lt;=6,
    0,
    PPMT(投資概要!$K$10 / 12, AY2 - 6, 投資概要!$K$11, -投資概要!$K$9)
)</f>
        <v>220355.06924023706</v>
      </c>
      <c r="AZ65" s="135">
        <f>IF(AZ2&lt;=6,
    0,
    PPMT(投資概要!$K$10 / 12, AZ2 - 6, 投資概要!$K$11, -投資概要!$K$9)
)</f>
        <v>220722.32768897081</v>
      </c>
      <c r="BA65" s="136">
        <f>IF(BA2&lt;=6,
    0,
    PPMT(投資概要!$K$10 / 12, BA2 - 6, 投資概要!$K$11, -投資概要!$K$9)
)</f>
        <v>221090.19823511908</v>
      </c>
      <c r="BB65" s="137">
        <f t="shared" si="851"/>
        <v>2628937.0814062459</v>
      </c>
      <c r="BC65" s="138">
        <f>IF(BC2&lt;=6,
    0,
    PPMT(投資概要!$K$10 / 12, BC2 - 6, 投資概要!$K$11, -投資概要!$K$9)
)</f>
        <v>221458.68189884428</v>
      </c>
      <c r="BD65" s="135">
        <f>IF(BD2&lt;=6,
    0,
    PPMT(投資概要!$K$10 / 12, BD2 - 6, 投資概要!$K$11, -投資概要!$K$9)
)</f>
        <v>221827.77970200902</v>
      </c>
      <c r="BE65" s="135">
        <f>IF(BE2&lt;=6,
    0,
    PPMT(投資概要!$K$10 / 12, BE2 - 6, 投資概要!$K$11, -投資概要!$K$9)
)</f>
        <v>222197.49266817907</v>
      </c>
      <c r="BF65" s="135">
        <f>IF(BF2&lt;=6,
    0,
    PPMT(投資概要!$K$10 / 12, BF2 - 6, 投資概要!$K$11, -投資概要!$K$9)
)</f>
        <v>222567.82182262602</v>
      </c>
      <c r="BG65" s="135">
        <f>IF(BG2&lt;=6,
    0,
    PPMT(投資概要!$K$10 / 12, BG2 - 6, 投資概要!$K$11, -投資概要!$K$9)
)</f>
        <v>222938.76819233038</v>
      </c>
      <c r="BH65" s="135">
        <f>IF(BH2&lt;=6,
    0,
    PPMT(投資概要!$K$10 / 12, BH2 - 6, 投資概要!$K$11, -投資概要!$K$9)
)</f>
        <v>223310.33280598425</v>
      </c>
      <c r="BI65" s="135">
        <f>IF(BI2&lt;=6,
    0,
    PPMT(投資概要!$K$10 / 12, BI2 - 6, 投資概要!$K$11, -投資概要!$K$9)
)</f>
        <v>223682.51669399426</v>
      </c>
      <c r="BJ65" s="135">
        <f>IF(BJ2&lt;=6,
    0,
    PPMT(投資概要!$K$10 / 12, BJ2 - 6, 投資概要!$K$11, -投資概要!$K$9)
)</f>
        <v>224055.32088848425</v>
      </c>
      <c r="BK65" s="135">
        <f>IF(BK2&lt;=6,
    0,
    PPMT(投資概要!$K$10 / 12, BK2 - 6, 投資概要!$K$11, -投資概要!$K$9)
)</f>
        <v>224428.74642329838</v>
      </c>
      <c r="BL65" s="135">
        <f>IF(BL2&lt;=6,
    0,
    PPMT(投資概要!$K$10 / 12, BL2 - 6, 投資概要!$K$11, -投資概要!$K$9)
)</f>
        <v>224802.79433400385</v>
      </c>
      <c r="BM65" s="135">
        <f>IF(BM2&lt;=6,
    0,
    PPMT(投資概要!$K$10 / 12, BM2 - 6, 投資概要!$K$11, -投資概要!$K$9)
)</f>
        <v>225177.46565789389</v>
      </c>
      <c r="BN65" s="136">
        <f>IF(BN2&lt;=6,
    0,
    PPMT(投資概要!$K$10 / 12, BN2 - 6, 投資概要!$K$11, -投資概要!$K$9)
)</f>
        <v>225552.76143399035</v>
      </c>
      <c r="BO65" s="137">
        <f t="shared" si="852"/>
        <v>2682000.4825216378</v>
      </c>
      <c r="BP65" s="138">
        <f>IF(BP2&lt;=6,
    0,
    PPMT(投資概要!$K$10 / 12, BP2 - 6, 投資概要!$K$11, -投資概要!$K$9)
)</f>
        <v>225928.682703047</v>
      </c>
      <c r="BQ65" s="135">
        <f>IF(BQ2&lt;=6,
    0,
    PPMT(投資概要!$K$10 / 12, BQ2 - 6, 投資概要!$K$11, -投資概要!$K$9)
)</f>
        <v>226305.2305075521</v>
      </c>
      <c r="BR65" s="135">
        <f>IF(BR2&lt;=6,
    0,
    PPMT(投資概要!$K$10 / 12, BR2 - 6, 投資概要!$K$11, -投資概要!$K$9)
)</f>
        <v>226682.40589173135</v>
      </c>
      <c r="BS65" s="135">
        <f>IF(BS2&lt;=6,
    0,
    PPMT(投資概要!$K$10 / 12, BS2 - 6, 投資概要!$K$11, -投資概要!$K$9)
)</f>
        <v>227060.20990155093</v>
      </c>
      <c r="BT65" s="135">
        <f>IF(BT2&lt;=6,
    0,
    PPMT(投資概要!$K$10 / 12, BT2 - 6, 投資概要!$K$11, -投資概要!$K$9)
)</f>
        <v>227438.64358472015</v>
      </c>
      <c r="BU65" s="135">
        <f>IF(BU2&lt;=6,
    0,
    PPMT(投資概要!$K$10 / 12, BU2 - 6, 投資概要!$K$11, -投資概要!$K$9)
)</f>
        <v>227817.7079906947</v>
      </c>
      <c r="BV65" s="135">
        <f>IF(BV2&lt;=6,
    0,
    PPMT(投資概要!$K$10 / 12, BV2 - 6, 投資概要!$K$11, -投資概要!$K$9)
)</f>
        <v>228197.40417067916</v>
      </c>
      <c r="BW65" s="135">
        <f>IF(BW2&lt;=6,
    0,
    PPMT(投資概要!$K$10 / 12, BW2 - 6, 投資概要!$K$11, -投資概要!$K$9)
)</f>
        <v>228577.73317763032</v>
      </c>
      <c r="BX65" s="135">
        <f>IF(BX2&lt;=6,
    0,
    PPMT(投資概要!$K$10 / 12, BX2 - 6, 投資概要!$K$11, -投資概要!$K$9)
)</f>
        <v>228958.6960662597</v>
      </c>
      <c r="BY65" s="135">
        <f>IF(BY2&lt;=6,
    0,
    PPMT(投資概要!$K$10 / 12, BY2 - 6, 投資概要!$K$11, -投資概要!$K$9)
)</f>
        <v>229340.29389303681</v>
      </c>
      <c r="BZ65" s="135">
        <f>IF(BZ2&lt;=6,
    0,
    PPMT(投資概要!$K$10 / 12, BZ2 - 6, 投資概要!$K$11, -投資概要!$K$9)
)</f>
        <v>229722.52771619186</v>
      </c>
      <c r="CA65" s="136">
        <f>IF(CA2&lt;=6,
    0,
    PPMT(投資概要!$K$10 / 12, CA2 - 6, 投資概要!$K$11, -投資概要!$K$9)
)</f>
        <v>230105.39859571884</v>
      </c>
      <c r="CB65" s="137">
        <f t="shared" si="853"/>
        <v>2736134.9341988126</v>
      </c>
      <c r="CC65" s="138">
        <f>IF(CC2&lt;=6,
    0,
    PPMT(投資概要!$K$10 / 12, CC2 - 6, 投資概要!$K$11, -投資概要!$K$9)
)</f>
        <v>230488.90759337839</v>
      </c>
      <c r="CD65" s="135">
        <f>IF(CD2&lt;=6,
    0,
    PPMT(投資概要!$K$10 / 12, CD2 - 6, 投資概要!$K$11, -投資概要!$K$9)
)</f>
        <v>230873.05577270067</v>
      </c>
      <c r="CE65" s="135">
        <f>IF(CE2&lt;=6,
    0,
    PPMT(投資概要!$K$10 / 12, CE2 - 6, 投資概要!$K$11, -投資概要!$K$9)
)</f>
        <v>231257.84419898849</v>
      </c>
      <c r="CF65" s="135">
        <f>IF(CF2&lt;=6,
    0,
    PPMT(投資概要!$K$10 / 12, CF2 - 6, 投資概要!$K$11, -投資概要!$K$9)
)</f>
        <v>231643.27393932015</v>
      </c>
      <c r="CG65" s="135">
        <f>IF(CG2&lt;=6,
    0,
    PPMT(投資概要!$K$10 / 12, CG2 - 6, 投資概要!$K$11, -投資概要!$K$9)
)</f>
        <v>232029.34606255236</v>
      </c>
      <c r="CH65" s="135">
        <f>IF(CH2&lt;=6,
    0,
    PPMT(投資概要!$K$10 / 12, CH2 - 6, 投資概要!$K$11, -投資概要!$K$9)
)</f>
        <v>232416.06163932331</v>
      </c>
      <c r="CI65" s="135"/>
      <c r="CJ65" s="135"/>
      <c r="CK65" s="135"/>
      <c r="CL65" s="135"/>
      <c r="CM65" s="135"/>
      <c r="CN65" s="136"/>
      <c r="CO65" s="137">
        <f t="shared" si="854"/>
        <v>1388708.4892062633</v>
      </c>
      <c r="CP65" s="138"/>
      <c r="CQ65" s="135"/>
      <c r="CR65" s="135"/>
      <c r="CS65" s="135"/>
      <c r="CT65" s="135"/>
      <c r="CU65" s="135"/>
      <c r="CV65" s="135"/>
      <c r="CW65" s="135"/>
      <c r="CX65" s="135"/>
      <c r="CY65" s="135"/>
      <c r="CZ65" s="135"/>
      <c r="DA65" s="136"/>
      <c r="DB65" s="137"/>
      <c r="DC65" s="138"/>
      <c r="DD65" s="135"/>
      <c r="DE65" s="135"/>
      <c r="DF65" s="135"/>
      <c r="DG65" s="135"/>
      <c r="DH65" s="135"/>
      <c r="DI65" s="135"/>
      <c r="DJ65" s="135"/>
      <c r="DK65" s="135"/>
      <c r="DL65" s="135"/>
      <c r="DM65" s="135"/>
      <c r="DN65" s="136"/>
      <c r="DO65" s="137"/>
      <c r="DP65" s="138"/>
      <c r="DQ65" s="135"/>
      <c r="DR65" s="135"/>
      <c r="DS65" s="135"/>
      <c r="DT65" s="135"/>
      <c r="DU65" s="135"/>
      <c r="DV65" s="135"/>
      <c r="DW65" s="135"/>
      <c r="DX65" s="135"/>
      <c r="DY65" s="135"/>
      <c r="DZ65" s="135"/>
      <c r="EA65" s="136"/>
      <c r="EB65" s="139"/>
    </row>
    <row r="66" spans="1:132" s="338" customFormat="1" ht="36" customHeight="1">
      <c r="A66" s="365" t="s">
        <v>156</v>
      </c>
      <c r="B66" s="365"/>
      <c r="C66" s="127">
        <f>C64-C65</f>
        <v>-266304.68333333335</v>
      </c>
      <c r="D66" s="127">
        <f>D64-D65</f>
        <v>-670446.32333333336</v>
      </c>
      <c r="E66" s="127">
        <f t="shared" ref="E66:N66" si="1045">E64-E65</f>
        <v>-3174867.9633333334</v>
      </c>
      <c r="F66" s="127">
        <f t="shared" si="1045"/>
        <v>-3174867.9633333334</v>
      </c>
      <c r="G66" s="127">
        <f t="shared" si="1045"/>
        <v>-350490.36333333352</v>
      </c>
      <c r="H66" s="127">
        <f t="shared" si="1045"/>
        <v>-199411.96333333361</v>
      </c>
      <c r="I66" s="127">
        <f t="shared" si="1045"/>
        <v>-106140.3337420555</v>
      </c>
      <c r="J66" s="127">
        <f t="shared" si="1045"/>
        <v>143537.74420994433</v>
      </c>
      <c r="K66" s="127">
        <f t="shared" si="1045"/>
        <v>430214.34506447153</v>
      </c>
      <c r="L66" s="127">
        <f t="shared" si="1045"/>
        <v>597064.46091394417</v>
      </c>
      <c r="M66" s="127">
        <f t="shared" si="1045"/>
        <v>625871.40516472794</v>
      </c>
      <c r="N66" s="127">
        <f t="shared" si="1045"/>
        <v>655191.81318010867</v>
      </c>
      <c r="O66" s="128">
        <f>SUM(C66:N66)</f>
        <v>-5490649.8252088595</v>
      </c>
      <c r="P66" s="127">
        <f>P64-P65</f>
        <v>660253.71021781373</v>
      </c>
      <c r="Q66" s="127">
        <f t="shared" ref="Q66" si="1046">Q64-Q65</f>
        <v>914351.328660117</v>
      </c>
      <c r="R66" s="127">
        <f t="shared" ref="R66" si="1047">R64-R65</f>
        <v>673699.07487913873</v>
      </c>
      <c r="S66" s="127">
        <f t="shared" ref="S66" si="1048">S64-S65</f>
        <v>776108.66313060513</v>
      </c>
      <c r="T66" s="127">
        <f t="shared" ref="T66" si="1049">T64-T65</f>
        <v>867233.64230212662</v>
      </c>
      <c r="U66" s="127">
        <f t="shared" ref="U66" si="1050">U64-U65</f>
        <v>893774.56331103272</v>
      </c>
      <c r="V66" s="127">
        <f t="shared" ref="V66" si="1051">V64-V65</f>
        <v>1106263.7079819208</v>
      </c>
      <c r="W66" s="127">
        <f t="shared" ref="W66" si="1052">W64-W65</f>
        <v>1122449.3708097166</v>
      </c>
      <c r="X66" s="127">
        <f t="shared" ref="X66" si="1053">X64-X65</f>
        <v>1206150.5342297577</v>
      </c>
      <c r="Y66" s="127">
        <f t="shared" ref="Y66" si="1054">Y64-Y65</f>
        <v>1260982.6754359799</v>
      </c>
      <c r="Z66" s="127">
        <f t="shared" ref="Z66" si="1055">Z64-Z65</f>
        <v>1202042.4188908278</v>
      </c>
      <c r="AA66" s="127">
        <f t="shared" ref="AA66" si="1056">AA64-AA65</f>
        <v>1343477.1936523058</v>
      </c>
      <c r="AB66" s="128">
        <f t="shared" si="849"/>
        <v>12026786.883501342</v>
      </c>
      <c r="AC66" s="127">
        <f>AC64-AC65</f>
        <v>1126461.8615759169</v>
      </c>
      <c r="AD66" s="127">
        <f t="shared" ref="AD66" si="1057">AD64-AD65</f>
        <v>1503057.9147616448</v>
      </c>
      <c r="AE66" s="127">
        <f t="shared" ref="AE66" si="1058">AE64-AE65</f>
        <v>1486576.3829733825</v>
      </c>
      <c r="AF66" s="127">
        <f t="shared" ref="AF66" si="1059">AF64-AF65</f>
        <v>1679610.1367188494</v>
      </c>
      <c r="AG66" s="127">
        <f t="shared" ref="AG66" si="1060">AG64-AG65</f>
        <v>1594861.7133222395</v>
      </c>
      <c r="AH66" s="127">
        <f t="shared" ref="AH66" si="1061">AH64-AH65</f>
        <v>1679011.2566028475</v>
      </c>
      <c r="AI66" s="127">
        <f t="shared" ref="AI66" si="1062">AI64-AI65</f>
        <v>1695415.0498628491</v>
      </c>
      <c r="AJ66" s="127">
        <f t="shared" ref="AJ66" si="1063">AJ64-AJ65</f>
        <v>1704422.1528708644</v>
      </c>
      <c r="AK66" s="127">
        <f t="shared" ref="AK66" si="1064">AK64-AK65</f>
        <v>1699279.9776285749</v>
      </c>
      <c r="AL66" s="127">
        <f t="shared" ref="AL66" si="1065">AL64-AL65</f>
        <v>1727493.2980292728</v>
      </c>
      <c r="AM66" s="127">
        <f t="shared" ref="AM66" si="1066">AM64-AM65</f>
        <v>1688763.6459318614</v>
      </c>
      <c r="AN66" s="127">
        <f t="shared" ref="AN66" si="1067">AN64-AN65</f>
        <v>1697686.026828099</v>
      </c>
      <c r="AO66" s="128">
        <f t="shared" si="850"/>
        <v>19282639.417106405</v>
      </c>
      <c r="AP66" s="127">
        <f>AP64-AP65</f>
        <v>1611143.0034835604</v>
      </c>
      <c r="AQ66" s="127">
        <f t="shared" ref="AQ66" si="1068">AQ64-AQ65</f>
        <v>1674068.7349373042</v>
      </c>
      <c r="AR66" s="127">
        <f t="shared" ref="AR66" si="1069">AR64-AR65</f>
        <v>1601544.3930700868</v>
      </c>
      <c r="AS66" s="127">
        <f t="shared" ref="AS66" si="1070">AS64-AS65</f>
        <v>1626120.9984713304</v>
      </c>
      <c r="AT66" s="127">
        <f t="shared" ref="AT66" si="1071">AT64-AT65</f>
        <v>1637365.9273833325</v>
      </c>
      <c r="AU66" s="127">
        <f t="shared" ref="AU66" si="1072">AU64-AU65</f>
        <v>1643960.4981685542</v>
      </c>
      <c r="AV66" s="127">
        <f t="shared" ref="AV66" si="1073">AV64-AV65</f>
        <v>1655363.1888079462</v>
      </c>
      <c r="AW66" s="127">
        <f t="shared" ref="AW66" si="1074">AW64-AW65</f>
        <v>1691873.2889966513</v>
      </c>
      <c r="AX66" s="127">
        <f t="shared" ref="AX66" si="1075">AX64-AX65</f>
        <v>1715628.0798257526</v>
      </c>
      <c r="AY66" s="127">
        <f t="shared" ref="AY66" si="1076">AY64-AY65</f>
        <v>1707613.4967854077</v>
      </c>
      <c r="AZ66" s="127">
        <f t="shared" ref="AZ66" si="1077">AZ64-AZ65</f>
        <v>1708207.4958880662</v>
      </c>
      <c r="BA66" s="127">
        <f t="shared" ref="BA66" si="1078">BA64-BA65</f>
        <v>1702115.4071875217</v>
      </c>
      <c r="BB66" s="128">
        <f t="shared" si="851"/>
        <v>19975004.513005514</v>
      </c>
      <c r="BC66" s="127">
        <f>BC64-BC65</f>
        <v>1751611.6559776997</v>
      </c>
      <c r="BD66" s="127">
        <f t="shared" ref="BD66" si="1079">BD64-BD65</f>
        <v>1755381.698927487</v>
      </c>
      <c r="BE66" s="127">
        <f t="shared" ref="BE66" si="1080">BE64-BE65</f>
        <v>1723320.4448395937</v>
      </c>
      <c r="BF66" s="127">
        <f t="shared" ref="BF66" si="1081">BF64-BF65</f>
        <v>1742887.698031344</v>
      </c>
      <c r="BG66" s="127">
        <f t="shared" ref="BG66" si="1082">BG64-BG65</f>
        <v>1749308.5357728102</v>
      </c>
      <c r="BH66" s="127">
        <f t="shared" ref="BH66" si="1083">BH64-BH65</f>
        <v>1751257.4216263532</v>
      </c>
      <c r="BI66" s="127">
        <f t="shared" ref="BI66" si="1084">BI64-BI65</f>
        <v>1758186.2324001954</v>
      </c>
      <c r="BJ66" s="127">
        <f t="shared" ref="BJ66" si="1085">BJ64-BJ65</f>
        <v>1790387.900859904</v>
      </c>
      <c r="BK66" s="127">
        <f t="shared" ref="BK66" si="1086">BK64-BK65</f>
        <v>1809993.5863731476</v>
      </c>
      <c r="BL66" s="127">
        <f t="shared" ref="BL66" si="1087">BL64-BL65</f>
        <v>1797983.3292101987</v>
      </c>
      <c r="BM66" s="127">
        <f t="shared" ref="BM66" si="1088">BM64-BM65</f>
        <v>1794729.4082865135</v>
      </c>
      <c r="BN66" s="127">
        <f t="shared" ref="BN66" si="1089">BN64-BN65</f>
        <v>1784931.6866112479</v>
      </c>
      <c r="BO66" s="128">
        <f t="shared" si="852"/>
        <v>21209979.598916493</v>
      </c>
      <c r="BP66" s="127">
        <f>BP64-BP65</f>
        <v>1830702.6557782013</v>
      </c>
      <c r="BQ66" s="127">
        <f t="shared" ref="BQ66" si="1090">BQ64-BQ65</f>
        <v>1830581.0300855874</v>
      </c>
      <c r="BR66" s="127">
        <f t="shared" ref="BR66" si="1091">BR64-BR65</f>
        <v>2223330.1875691852</v>
      </c>
      <c r="BS66" s="127">
        <f t="shared" ref="BS66" si="1092">BS64-BS65</f>
        <v>2239710.220540232</v>
      </c>
      <c r="BT66" s="127">
        <f t="shared" ref="BT66" si="1093">BT64-BT65</f>
        <v>2243061.6785008376</v>
      </c>
      <c r="BU66" s="127">
        <f t="shared" ref="BU66" si="1094">BU64-BU65</f>
        <v>2242054.6647725748</v>
      </c>
      <c r="BV66" s="127">
        <f t="shared" ref="BV66" si="1095">BV64-BV65</f>
        <v>2246136.8572515491</v>
      </c>
      <c r="BW66" s="127">
        <f t="shared" ref="BW66" si="1096">BW64-BW65</f>
        <v>2275597.1451507127</v>
      </c>
      <c r="BX66" s="127">
        <f t="shared" ref="BX66" si="1097">BX64-BX65</f>
        <v>2292562.7938963277</v>
      </c>
      <c r="BY66" s="127">
        <f t="shared" ref="BY66" si="1098">BY64-BY65</f>
        <v>2278010.0938928449</v>
      </c>
      <c r="BZ66" s="127">
        <f t="shared" ref="BZ66" si="1099">BZ64-BZ65</f>
        <v>2272307.7129347022</v>
      </c>
      <c r="CA66" s="127">
        <f t="shared" ref="CA66" si="1100">CA64-CA65</f>
        <v>2260152.0365212616</v>
      </c>
      <c r="CB66" s="128">
        <f t="shared" si="853"/>
        <v>26234207.076894015</v>
      </c>
      <c r="CC66" s="127">
        <f>CC64-CC65</f>
        <v>2303299.3696378549</v>
      </c>
      <c r="CD66" s="127">
        <f t="shared" ref="CD66" si="1101">CD64-CD65</f>
        <v>2300701.4517756379</v>
      </c>
      <c r="CE66" s="127">
        <f t="shared" ref="CE66" si="1102">CE64-CE65</f>
        <v>2263224.568399997</v>
      </c>
      <c r="CF66" s="127">
        <f t="shared" ref="CF66" si="1103">CF64-CF65</f>
        <v>2277576.3957123077</v>
      </c>
      <c r="CG66" s="127">
        <f t="shared" ref="CG66" si="1104">CG64-CG65</f>
        <v>2278974.603165077</v>
      </c>
      <c r="CH66" s="127">
        <f t="shared" ref="CH66" si="1105">CH64-CH65</f>
        <v>2276086.520591863</v>
      </c>
      <c r="CI66" s="127">
        <f t="shared" ref="CI66" si="1106">CI64-CI65</f>
        <v>2511160.5767616229</v>
      </c>
      <c r="CJ66" s="127">
        <f t="shared" ref="CJ66" si="1107">CJ64-CJ65</f>
        <v>2538992.6470667822</v>
      </c>
      <c r="CK66" s="127">
        <f t="shared" ref="CK66" si="1108">CK64-CK65</f>
        <v>2554394.7340858495</v>
      </c>
      <c r="CL66" s="127">
        <f t="shared" ref="CL66" si="1109">CL64-CL65</f>
        <v>2538340.7433092124</v>
      </c>
      <c r="CM66" s="127">
        <f t="shared" ref="CM66" si="1110">CM64-CM65</f>
        <v>2531197.0458713109</v>
      </c>
      <c r="CN66" s="127">
        <f t="shared" ref="CN66" si="1111">CN64-CN65</f>
        <v>2517657.8156002117</v>
      </c>
      <c r="CO66" s="128">
        <f t="shared" si="854"/>
        <v>28891606.471977729</v>
      </c>
      <c r="CP66" s="127">
        <f>CP64-CP65</f>
        <v>2558986.9506066577</v>
      </c>
      <c r="CQ66" s="127">
        <f t="shared" ref="CQ66" si="1112">CQ64-CQ65</f>
        <v>2554930.5941836042</v>
      </c>
      <c r="CR66" s="127">
        <f t="shared" ref="CR66" si="1113">CR64-CR65</f>
        <v>2516230.9782011369</v>
      </c>
      <c r="CS66" s="127">
        <f t="shared" ref="CS66" si="1114">CS64-CS65</f>
        <v>2529409.7775588217</v>
      </c>
      <c r="CT66" s="127">
        <f t="shared" ref="CT66" si="1115">CT64-CT65</f>
        <v>2529682.8300762717</v>
      </c>
      <c r="CU66" s="127">
        <f t="shared" ref="CU66" si="1116">CU64-CU65</f>
        <v>2525715.7017369759</v>
      </c>
      <c r="CV66" s="127">
        <f t="shared" ref="CV66" si="1117">CV64-CV65</f>
        <v>2526951.7009926336</v>
      </c>
      <c r="CW66" s="127">
        <f t="shared" ref="CW66" si="1118">CW64-CW65</f>
        <v>2553675.5092934323</v>
      </c>
      <c r="CX66" s="127">
        <f t="shared" ref="CX66" si="1119">CX64-CX65</f>
        <v>2568010.3400023002</v>
      </c>
      <c r="CY66" s="127">
        <f t="shared" ref="CY66" si="1120">CY64-CY65</f>
        <v>2550928.5813989416</v>
      </c>
      <c r="CZ66" s="127">
        <f t="shared" ref="CZ66" si="1121">CZ64-CZ65</f>
        <v>2542795.1435439074</v>
      </c>
      <c r="DA66" s="127">
        <f t="shared" ref="DA66" si="1122">DA64-DA65</f>
        <v>2528302.7932511079</v>
      </c>
      <c r="DB66" s="128">
        <f>SUM(CP66:DA66)</f>
        <v>30485620.900845792</v>
      </c>
      <c r="DC66" s="127">
        <f>DC64-DC65</f>
        <v>2568123.0814011567</v>
      </c>
      <c r="DD66" s="127">
        <f t="shared" ref="DD66" si="1123">DD64-DD65</f>
        <v>2563065.7281465074</v>
      </c>
      <c r="DE66" s="127">
        <f t="shared" ref="DE66" si="1124">DE64-DE65</f>
        <v>2523514.9222792098</v>
      </c>
      <c r="DF66" s="127">
        <f t="shared" ref="DF66" si="1125">DF64-DF65</f>
        <v>2535874.0257778014</v>
      </c>
      <c r="DG66" s="127">
        <f t="shared" ref="DG66" si="1126">DG64-DG65</f>
        <v>2535357.7111829454</v>
      </c>
      <c r="DH66" s="127">
        <f t="shared" ref="DH66" si="1127">DH64-DH65</f>
        <v>2530630.4223144986</v>
      </c>
      <c r="DI66" s="127">
        <f t="shared" ref="DI66" si="1128">DI64-DI65</f>
        <v>2531134.3869805848</v>
      </c>
      <c r="DJ66" s="127">
        <f t="shared" ref="DJ66" si="1129">DJ64-DJ65</f>
        <v>2557153.2459716266</v>
      </c>
      <c r="DK66" s="127">
        <f t="shared" ref="DK66" si="1130">DK64-DK65</f>
        <v>2570809.2104951986</v>
      </c>
      <c r="DL66" s="127">
        <f t="shared" ref="DL66" si="1131">DL64-DL65</f>
        <v>2553073.7037553973</v>
      </c>
      <c r="DM66" s="127">
        <f t="shared" ref="DM66" si="1132">DM64-DM65</f>
        <v>2544310.7064449694</v>
      </c>
      <c r="DN66" s="127">
        <f t="shared" ref="DN66" si="1133">DN64-DN65</f>
        <v>2529212.0903966287</v>
      </c>
      <c r="DO66" s="128">
        <f>SUM(DC66:DN66)</f>
        <v>30542259.23514653</v>
      </c>
      <c r="DP66" s="127">
        <f>DP64-DP65</f>
        <v>2567779.5321502471</v>
      </c>
      <c r="DQ66" s="127">
        <f t="shared" ref="DQ66" si="1134">DQ64-DQ65</f>
        <v>2562085.459399011</v>
      </c>
      <c r="DR66" s="127">
        <f t="shared" ref="DR66" si="1135">DR64-DR65</f>
        <v>2521993.2240507551</v>
      </c>
      <c r="DS66" s="127">
        <f t="shared" ref="DS66" si="1136">DS64-DS65</f>
        <v>2533830.9309591865</v>
      </c>
      <c r="DT66" s="127">
        <f t="shared" ref="DT66" si="1137">DT64-DT65</f>
        <v>2532812.5114480043</v>
      </c>
      <c r="DU66" s="127">
        <f t="shared" ref="DU66" si="1138">DU64-DU65</f>
        <v>2527601.6955451374</v>
      </c>
      <c r="DV66" s="127">
        <f t="shared" ref="DV66" si="1139">DV64-DV65</f>
        <v>2527640.0236770762</v>
      </c>
      <c r="DW66" s="127">
        <f t="shared" ref="DW66" si="1140">DW64-DW65</f>
        <v>2553210.4746857313</v>
      </c>
      <c r="DX66" s="127">
        <f t="shared" ref="DX66" si="1141">DX64-DX65</f>
        <v>2566434.6223222683</v>
      </c>
      <c r="DY66" s="127">
        <f t="shared" ref="DY66" si="1142">DY64-DY65</f>
        <v>2548283.2759202523</v>
      </c>
      <c r="DZ66" s="127">
        <f t="shared" ref="DZ66" si="1143">DZ64-DZ65</f>
        <v>2539119.8250151109</v>
      </c>
      <c r="EA66" s="127">
        <f t="shared" ref="EA66" si="1144">EA64-EA65</f>
        <v>2523635.5721550602</v>
      </c>
      <c r="EB66" s="129">
        <f>SUM(DP66:EA66)</f>
        <v>30504427.14732784</v>
      </c>
    </row>
    <row r="67" spans="1:132" ht="24" customHeight="1">
      <c r="A67" s="339"/>
      <c r="B67" s="340"/>
      <c r="C67" s="341"/>
      <c r="D67" s="341"/>
      <c r="E67" s="341"/>
      <c r="F67" s="341"/>
      <c r="G67" s="341"/>
      <c r="H67" s="341"/>
      <c r="I67" s="341"/>
      <c r="J67" s="341"/>
      <c r="K67" s="341"/>
      <c r="L67" s="341"/>
      <c r="M67" s="341"/>
      <c r="N67" s="342"/>
      <c r="O67" s="343"/>
      <c r="P67" s="344"/>
      <c r="Q67" s="341"/>
      <c r="R67" s="341"/>
      <c r="S67" s="341"/>
      <c r="T67" s="341"/>
      <c r="U67" s="341"/>
      <c r="V67" s="341"/>
      <c r="W67" s="341"/>
      <c r="X67" s="341"/>
      <c r="Y67" s="341"/>
      <c r="Z67" s="341"/>
      <c r="AA67" s="342"/>
      <c r="AB67" s="343"/>
      <c r="AC67" s="344"/>
      <c r="AD67" s="341"/>
      <c r="AE67" s="341"/>
      <c r="AF67" s="341"/>
      <c r="AG67" s="341"/>
      <c r="AH67" s="341"/>
      <c r="AI67" s="341"/>
      <c r="AJ67" s="341"/>
      <c r="AK67" s="341"/>
      <c r="AL67" s="341"/>
      <c r="AM67" s="341"/>
      <c r="AN67" s="342"/>
      <c r="AO67" s="343"/>
      <c r="AP67" s="344"/>
      <c r="AQ67" s="341"/>
      <c r="AR67" s="341"/>
      <c r="AS67" s="341"/>
      <c r="AT67" s="341"/>
      <c r="AU67" s="341"/>
      <c r="AV67" s="341"/>
      <c r="AW67" s="341"/>
      <c r="AX67" s="341"/>
      <c r="AY67" s="341"/>
      <c r="AZ67" s="341"/>
      <c r="BA67" s="342"/>
      <c r="BB67" s="343"/>
      <c r="BC67" s="344"/>
      <c r="BD67" s="341"/>
      <c r="BE67" s="341"/>
      <c r="BF67" s="341"/>
      <c r="BG67" s="341"/>
      <c r="BH67" s="341"/>
      <c r="BI67" s="341"/>
      <c r="BJ67" s="341"/>
      <c r="BK67" s="341"/>
      <c r="BL67" s="341"/>
      <c r="BM67" s="341"/>
      <c r="BN67" s="342"/>
      <c r="BO67" s="343"/>
      <c r="BP67" s="344"/>
      <c r="BQ67" s="341"/>
      <c r="BR67" s="341"/>
      <c r="BS67" s="341"/>
      <c r="BT67" s="341"/>
      <c r="BU67" s="341"/>
      <c r="BV67" s="341"/>
      <c r="BW67" s="341"/>
      <c r="BX67" s="341"/>
      <c r="BY67" s="341"/>
      <c r="BZ67" s="341"/>
      <c r="CA67" s="342"/>
      <c r="CB67" s="343"/>
      <c r="CC67" s="344"/>
      <c r="CD67" s="341"/>
      <c r="CE67" s="341"/>
      <c r="CF67" s="341"/>
      <c r="CG67" s="341"/>
      <c r="CH67" s="341"/>
      <c r="CI67" s="341"/>
      <c r="CJ67" s="341"/>
      <c r="CK67" s="341"/>
      <c r="CL67" s="341"/>
      <c r="CM67" s="341"/>
      <c r="CN67" s="342"/>
      <c r="CO67" s="343"/>
      <c r="CP67" s="344"/>
      <c r="CQ67" s="341"/>
      <c r="CR67" s="341"/>
      <c r="CS67" s="341"/>
      <c r="CT67" s="341"/>
      <c r="CU67" s="341"/>
      <c r="CV67" s="341"/>
      <c r="CW67" s="341"/>
      <c r="CX67" s="341"/>
      <c r="CY67" s="341"/>
      <c r="CZ67" s="341"/>
      <c r="DA67" s="342"/>
      <c r="DB67" s="343"/>
      <c r="DC67" s="344"/>
      <c r="DD67" s="341"/>
      <c r="DE67" s="341"/>
      <c r="DF67" s="341"/>
      <c r="DG67" s="341"/>
      <c r="DH67" s="341"/>
      <c r="DI67" s="341"/>
      <c r="DJ67" s="341"/>
      <c r="DK67" s="341"/>
      <c r="DL67" s="341"/>
      <c r="DM67" s="341"/>
      <c r="DN67" s="342"/>
      <c r="DO67" s="343"/>
      <c r="DP67" s="344"/>
      <c r="DQ67" s="341"/>
      <c r="DR67" s="341"/>
      <c r="DS67" s="341"/>
      <c r="DT67" s="341"/>
      <c r="DU67" s="341"/>
      <c r="DV67" s="341"/>
      <c r="DW67" s="341"/>
      <c r="DX67" s="341"/>
      <c r="DY67" s="341"/>
      <c r="DZ67" s="341"/>
      <c r="EA67" s="342"/>
      <c r="EB67" s="345"/>
    </row>
    <row r="68" spans="1:132" s="7" customFormat="1" ht="24" customHeight="1">
      <c r="A68" s="379" t="s">
        <v>220</v>
      </c>
      <c r="B68" s="379"/>
      <c r="C68" s="2">
        <f>-(投資概要!D43)+SUM(C36:E36,C41:D41)</f>
        <v>-31758300</v>
      </c>
      <c r="D68" s="2">
        <f>SUM(C68,D53)</f>
        <v>-32402441.640000001</v>
      </c>
      <c r="E68" s="2">
        <f t="shared" ref="E68:M68" si="1145">SUM(D68,E53)</f>
        <v>-35421004.920000002</v>
      </c>
      <c r="F68" s="2">
        <f t="shared" si="1145"/>
        <v>-38439568.200000003</v>
      </c>
      <c r="G68" s="2">
        <f>SUM(F68,G53)</f>
        <v>-38633753.880000003</v>
      </c>
      <c r="H68" s="2">
        <f t="shared" si="1145"/>
        <v>-38676861.160000004</v>
      </c>
      <c r="I68" s="2">
        <f t="shared" si="1145"/>
        <v>-38420198.072000004</v>
      </c>
      <c r="J68" s="2">
        <f t="shared" si="1145"/>
        <v>-37913856.906048007</v>
      </c>
      <c r="K68" s="2">
        <f t="shared" si="1145"/>
        <v>-37120839.139241479</v>
      </c>
      <c r="L68" s="2">
        <f t="shared" si="1145"/>
        <v>-36160971.256585479</v>
      </c>
      <c r="M68" s="2">
        <f t="shared" si="1145"/>
        <v>-35172296.429678693</v>
      </c>
      <c r="N68" s="3">
        <f>SUM(M68,N53)</f>
        <v>-34154301.19475653</v>
      </c>
      <c r="O68" s="5"/>
      <c r="P68" s="4">
        <f>SUM(N68,P53)</f>
        <v>-32758890.037395708</v>
      </c>
      <c r="Q68" s="2">
        <f>SUM(P68,Q53)</f>
        <v>-31000333.302010842</v>
      </c>
      <c r="R68" s="2">
        <f t="shared" ref="R68:AA68" si="1146">SUM(Q68,R53)</f>
        <v>-29585416.272049066</v>
      </c>
      <c r="S68" s="2">
        <f t="shared" si="1146"/>
        <v>-28024050.353035495</v>
      </c>
      <c r="T68" s="2">
        <f t="shared" si="1146"/>
        <v>-26332356.165955558</v>
      </c>
      <c r="U68" s="2">
        <f t="shared" si="1146"/>
        <v>-24602596.40149758</v>
      </c>
      <c r="V68" s="2">
        <f>SUM(U68,V53)</f>
        <v>-22569130.490184546</v>
      </c>
      <c r="W68" s="2">
        <f t="shared" si="1146"/>
        <v>-20512391.727130096</v>
      </c>
      <c r="X68" s="2">
        <f t="shared" si="1146"/>
        <v>-18335929.146408662</v>
      </c>
      <c r="Y68" s="2">
        <f t="shared" si="1146"/>
        <v>-16080983.95711392</v>
      </c>
      <c r="Z68" s="2">
        <f t="shared" si="1146"/>
        <v>-13910087.904403083</v>
      </c>
      <c r="AA68" s="3">
        <f t="shared" si="1146"/>
        <v>-11536990.691502545</v>
      </c>
      <c r="AB68" s="5"/>
      <c r="AC68" s="4">
        <f>SUM(AA68,AC53)</f>
        <v>-9473763.6471393295</v>
      </c>
      <c r="AD68" s="2">
        <f>SUM(AC68,AD53)</f>
        <v>-6872390.2537625516</v>
      </c>
      <c r="AE68" s="2">
        <f t="shared" ref="AE68:AN68" si="1147">SUM(AD68,AE53)</f>
        <v>-4294409.665165714</v>
      </c>
      <c r="AF68" s="2">
        <f t="shared" si="1147"/>
        <v>-1440514.0768519593</v>
      </c>
      <c r="AG68" s="2">
        <f t="shared" si="1147"/>
        <v>1292465.0837044511</v>
      </c>
      <c r="AH68" s="2">
        <f t="shared" si="1147"/>
        <v>4145810.8806232726</v>
      </c>
      <c r="AI68" s="2">
        <f t="shared" si="1147"/>
        <v>7022743.9260230986</v>
      </c>
      <c r="AJ68" s="2">
        <f t="shared" si="1147"/>
        <v>9912697.7749741301</v>
      </c>
      <c r="AK68" s="2">
        <f t="shared" si="1147"/>
        <v>12795459.428688977</v>
      </c>
      <c r="AL68" s="2">
        <f t="shared" si="1147"/>
        <v>15718679.851511374</v>
      </c>
      <c r="AM68" s="2">
        <f t="shared" si="1147"/>
        <v>18586726.48229634</v>
      </c>
      <c r="AN68" s="3">
        <f t="shared" si="1147"/>
        <v>21467673.911029264</v>
      </c>
      <c r="AO68" s="5"/>
      <c r="AP68" s="4">
        <f>SUM(AN68,AP53)</f>
        <v>24225143.246360622</v>
      </c>
      <c r="AQ68" s="2">
        <f>SUM(AP68,AQ53)</f>
        <v>27072661.538854539</v>
      </c>
      <c r="AR68" s="2">
        <f t="shared" ref="AR68:BA68" si="1148">SUM(AQ68,AR53)</f>
        <v>29816728.942191929</v>
      </c>
      <c r="AS68" s="2">
        <f t="shared" si="1148"/>
        <v>32596061.354183584</v>
      </c>
      <c r="AT68" s="2">
        <f t="shared" si="1148"/>
        <v>35391613.781989299</v>
      </c>
      <c r="AU68" s="2">
        <f t="shared" si="1148"/>
        <v>38196743.116575956</v>
      </c>
      <c r="AV68" s="2">
        <f t="shared" si="1148"/>
        <v>41018318.360744655</v>
      </c>
      <c r="AW68" s="2">
        <f t="shared" si="1148"/>
        <v>43892207.503008865</v>
      </c>
      <c r="AX68" s="2">
        <f t="shared" si="1148"/>
        <v>46800188.933875047</v>
      </c>
      <c r="AY68" s="2">
        <f t="shared" si="1148"/>
        <v>49696878.094984926</v>
      </c>
      <c r="AZ68" s="2">
        <f t="shared" si="1148"/>
        <v>52594573.222719491</v>
      </c>
      <c r="BA68" s="3">
        <f t="shared" si="1148"/>
        <v>55483723.02540163</v>
      </c>
      <c r="BB68" s="5"/>
      <c r="BC68" s="4">
        <f>SUM(BA68,BC53)</f>
        <v>58443739.67649705</v>
      </c>
      <c r="BD68" s="2">
        <f>SUM(BC68,BD53)</f>
        <v>61409300.288007803</v>
      </c>
      <c r="BE68" s="2">
        <f t="shared" ref="BE68:BN68" si="1149">SUM(BD68,BE53)</f>
        <v>64329217.556378499</v>
      </c>
      <c r="BF68" s="2">
        <f t="shared" si="1149"/>
        <v>67277246.756089315</v>
      </c>
      <c r="BG68" s="2">
        <f t="shared" si="1149"/>
        <v>70234607.558160663</v>
      </c>
      <c r="BH68" s="2">
        <f t="shared" si="1149"/>
        <v>73194911.724857211</v>
      </c>
      <c r="BI68" s="2">
        <f t="shared" si="1149"/>
        <v>76165273.700039834</v>
      </c>
      <c r="BJ68" s="2">
        <f t="shared" si="1149"/>
        <v>79181797.831962526</v>
      </c>
      <c r="BK68" s="2">
        <f t="shared" si="1149"/>
        <v>82226490.125561923</v>
      </c>
      <c r="BL68" s="2">
        <f t="shared" si="1149"/>
        <v>85254185.215175971</v>
      </c>
      <c r="BM68" s="2">
        <f t="shared" si="1149"/>
        <v>88277392.419752151</v>
      </c>
      <c r="BN68" s="3">
        <f t="shared" si="1149"/>
        <v>91286763.720124841</v>
      </c>
      <c r="BO68" s="5"/>
      <c r="BP68" s="4">
        <f>SUM(BN68,BP53)</f>
        <v>94361683.228422776</v>
      </c>
      <c r="BQ68" s="2">
        <f>SUM(BP68,BQ53)</f>
        <v>97436590.363361761</v>
      </c>
      <c r="BR68" s="2">
        <f t="shared" ref="BR68:CA68" si="1150">SUM(BQ68,BR53)</f>
        <v>101022729.36987054</v>
      </c>
      <c r="BS68" s="2">
        <f t="shared" si="1150"/>
        <v>104632430.33948502</v>
      </c>
      <c r="BT68" s="2">
        <f t="shared" si="1150"/>
        <v>108247081.2920503</v>
      </c>
      <c r="BU68" s="2">
        <f t="shared" si="1150"/>
        <v>111860456.1097492</v>
      </c>
      <c r="BV68" s="2">
        <f t="shared" si="1150"/>
        <v>115479825.35792376</v>
      </c>
      <c r="BW68" s="2">
        <f t="shared" si="1150"/>
        <v>119141443.7298144</v>
      </c>
      <c r="BX68" s="2">
        <f t="shared" si="1150"/>
        <v>122827462.0125796</v>
      </c>
      <c r="BY68" s="2">
        <f t="shared" si="1150"/>
        <v>126492854.26583703</v>
      </c>
      <c r="BZ68" s="2">
        <f t="shared" si="1150"/>
        <v>130150264.07507846</v>
      </c>
      <c r="CA68" s="3">
        <f t="shared" si="1150"/>
        <v>133790472.71982048</v>
      </c>
      <c r="CB68" s="5"/>
      <c r="CC68" s="4">
        <f>SUM(CA68,CC53)</f>
        <v>137492484.77287093</v>
      </c>
      <c r="CD68" s="2">
        <f>SUM(CC68,CD53)</f>
        <v>141190950.14962363</v>
      </c>
      <c r="CE68" s="2">
        <f t="shared" ref="CE68:CN68" si="1151">SUM(CD68,CE53)</f>
        <v>144836042.03087953</v>
      </c>
      <c r="CF68" s="2">
        <f t="shared" si="1151"/>
        <v>148501801.70675603</v>
      </c>
      <c r="CG68" s="2">
        <f t="shared" si="1151"/>
        <v>152169724.28133214</v>
      </c>
      <c r="CH68" s="2">
        <f t="shared" si="1151"/>
        <v>155833686.758908</v>
      </c>
      <c r="CI68" s="2">
        <f t="shared" si="1151"/>
        <v>159501059.0114246</v>
      </c>
      <c r="CJ68" s="2">
        <f t="shared" si="1151"/>
        <v>163208191.36437714</v>
      </c>
      <c r="CK68" s="2">
        <f t="shared" si="1151"/>
        <v>166937326.69878548</v>
      </c>
      <c r="CL68" s="2">
        <f t="shared" si="1151"/>
        <v>170643527.76065579</v>
      </c>
      <c r="CM68" s="2">
        <f t="shared" si="1151"/>
        <v>174339523.54047194</v>
      </c>
      <c r="CN68" s="3">
        <f t="shared" si="1151"/>
        <v>178016177.56275797</v>
      </c>
      <c r="CO68" s="5"/>
      <c r="CP68" s="4">
        <f>SUM(CN68,CP53)</f>
        <v>181751873.20648175</v>
      </c>
      <c r="CQ68" s="2">
        <f>SUM(CP68,CQ53)</f>
        <v>185481774.05531546</v>
      </c>
      <c r="CR68" s="2">
        <f t="shared" ref="CR68:DA68" si="1152">SUM(CQ68,CR53)</f>
        <v>189156389.73845994</v>
      </c>
      <c r="CS68" s="2">
        <f t="shared" si="1152"/>
        <v>192849832.27782968</v>
      </c>
      <c r="CT68" s="2">
        <f t="shared" si="1152"/>
        <v>196543664.89222434</v>
      </c>
      <c r="CU68" s="2">
        <f t="shared" si="1152"/>
        <v>200231830.18042001</v>
      </c>
      <c r="CV68" s="2">
        <f t="shared" si="1152"/>
        <v>203921761.18183807</v>
      </c>
      <c r="CW68" s="2">
        <f t="shared" si="1152"/>
        <v>207649869.05225724</v>
      </c>
      <c r="CX68" s="2">
        <f t="shared" si="1152"/>
        <v>211398455.25226054</v>
      </c>
      <c r="CY68" s="2">
        <f t="shared" si="1152"/>
        <v>215122638.93997329</v>
      </c>
      <c r="CZ68" s="2">
        <f t="shared" si="1152"/>
        <v>218835203.43075031</v>
      </c>
      <c r="DA68" s="3">
        <f t="shared" si="1152"/>
        <v>222527064.56396618</v>
      </c>
      <c r="DB68" s="5"/>
      <c r="DC68" s="4">
        <f>SUM(DA68,DC53)</f>
        <v>226275811.8231107</v>
      </c>
      <c r="DD68" s="2">
        <f>SUM(DC68,DD53)</f>
        <v>230017334.29189143</v>
      </c>
      <c r="DE68" s="2">
        <f t="shared" ref="DE68:DN68" si="1153">SUM(DD68,DE53)</f>
        <v>233702355.60943314</v>
      </c>
      <c r="DF68" s="2">
        <f t="shared" si="1153"/>
        <v>237405032.78911573</v>
      </c>
      <c r="DG68" s="2">
        <f t="shared" si="1153"/>
        <v>241106972.37651995</v>
      </c>
      <c r="DH68" s="2">
        <f t="shared" si="1153"/>
        <v>244802158.69411209</v>
      </c>
      <c r="DI68" s="2">
        <f t="shared" si="1153"/>
        <v>248498064.96122721</v>
      </c>
      <c r="DJ68" s="2">
        <f t="shared" si="1153"/>
        <v>252231141.02690095</v>
      </c>
      <c r="DK68" s="2">
        <f t="shared" si="1153"/>
        <v>255983725.61332265</v>
      </c>
      <c r="DL68" s="2">
        <f t="shared" si="1153"/>
        <v>259710973.76154464</v>
      </c>
      <c r="DM68" s="2">
        <f t="shared" si="1153"/>
        <v>263425703.34218031</v>
      </c>
      <c r="DN68" s="3">
        <f t="shared" si="1153"/>
        <v>267118863.47131836</v>
      </c>
      <c r="DO68" s="5"/>
      <c r="DP68" s="4">
        <f>SUM(DN68,DP53)</f>
        <v>270867119.94581872</v>
      </c>
      <c r="DQ68" s="2">
        <f>SUM(DP68,DQ53)</f>
        <v>274607242.03067446</v>
      </c>
      <c r="DR68" s="2">
        <f t="shared" ref="DR68:EA68" si="1154">SUM(DQ68,DR53)</f>
        <v>278290089.49360412</v>
      </c>
      <c r="DS68" s="2">
        <f t="shared" si="1154"/>
        <v>281989847.96640295</v>
      </c>
      <c r="DT68" s="2">
        <f t="shared" si="1154"/>
        <v>285688151.55418581</v>
      </c>
      <c r="DU68" s="2">
        <f t="shared" si="1154"/>
        <v>289379011.1192503</v>
      </c>
      <c r="DV68" s="2">
        <f t="shared" si="1154"/>
        <v>293069925.43878895</v>
      </c>
      <c r="DW68" s="2">
        <f t="shared" si="1154"/>
        <v>296797368.97405428</v>
      </c>
      <c r="DX68" s="2">
        <f t="shared" si="1154"/>
        <v>300543704.14880037</v>
      </c>
      <c r="DY68" s="2">
        <f t="shared" si="1154"/>
        <v>304264108.82868648</v>
      </c>
      <c r="DZ68" s="2">
        <f t="shared" si="1154"/>
        <v>307971422.86442232</v>
      </c>
      <c r="EA68" s="3">
        <f t="shared" si="1154"/>
        <v>311656616.53892952</v>
      </c>
      <c r="EB68" s="6"/>
    </row>
    <row r="69" spans="1:132" s="95" customFormat="1" ht="24" customHeight="1">
      <c r="A69" s="379"/>
      <c r="B69" s="379"/>
      <c r="C69" s="140">
        <f>IF(ISNUMBER(C68), ($C$68 - C68) / $C$68, "")</f>
        <v>0</v>
      </c>
      <c r="D69" s="140">
        <f t="shared" ref="D69:G69" si="1155">IF(ISNUMBER(D68), ($C$68 - D68) / $C$68, "")</f>
        <v>-2.0282623440171565E-2</v>
      </c>
      <c r="E69" s="140">
        <f t="shared" si="1155"/>
        <v>-0.11533063545592812</v>
      </c>
      <c r="F69" s="140">
        <f t="shared" si="1155"/>
        <v>-0.21037864747168467</v>
      </c>
      <c r="G69" s="140">
        <f t="shared" si="1155"/>
        <v>-0.21649313344857887</v>
      </c>
      <c r="H69" s="140">
        <f t="shared" ref="H69" si="1156">IF(ISNUMBER(H68), ($C$68 - H68) / $C$68, "")</f>
        <v>-0.21785048821882796</v>
      </c>
      <c r="I69" s="140">
        <f t="shared" ref="I69" si="1157">IF(ISNUMBER(I68), ($C$68 - I68) / $C$68, "")</f>
        <v>-0.20976872414455447</v>
      </c>
      <c r="J69" s="140">
        <f t="shared" ref="J69:K69" si="1158">IF(ISNUMBER(J68), ($C$68 - J68) / $C$68, "")</f>
        <v>-0.19382513881561694</v>
      </c>
      <c r="K69" s="140">
        <f t="shared" si="1158"/>
        <v>-0.1688547289760938</v>
      </c>
      <c r="L69" s="140">
        <f t="shared" ref="L69" si="1159">IF(ISNUMBER(L68), ($C$68 - L68) / $C$68, "")</f>
        <v>-0.13863057079835756</v>
      </c>
      <c r="M69" s="140">
        <f>IF(ISNUMBER(M68), ($C$68 - M68) / $C$68, "")</f>
        <v>-0.10749934441323035</v>
      </c>
      <c r="N69" s="141">
        <f t="shared" ref="N69" si="1160">IF(ISNUMBER(N68), ($C$68 - N68) / $C$68, "")</f>
        <v>-7.5444881960197177E-2</v>
      </c>
      <c r="O69" s="142">
        <f>AVERAGE(C69:N69)</f>
        <v>-0.13952990976193677</v>
      </c>
      <c r="P69" s="143">
        <f>IF(ISNUMBER(P68), ($C$68 - P68) / $C$68, "")</f>
        <v>-3.1506410525617187E-2</v>
      </c>
      <c r="Q69" s="140">
        <f t="shared" ref="Q69" si="1161">IF(ISNUMBER(Q68), ($C$68 - Q68) / $C$68, "")</f>
        <v>2.3866727689742788E-2</v>
      </c>
      <c r="R69" s="140">
        <f t="shared" ref="R69" si="1162">IF(ISNUMBER(R68), ($C$68 - R68) / $C$68, "")</f>
        <v>6.8419396754578629E-2</v>
      </c>
      <c r="S69" s="140">
        <f t="shared" ref="S69" si="1163">IF(ISNUMBER(S68), ($C$68 - S68) / $C$68, "")</f>
        <v>0.11758342376526783</v>
      </c>
      <c r="T69" s="140">
        <f t="shared" ref="T69" si="1164">IF(ISNUMBER(T68), ($C$68 - T68) / $C$68, "")</f>
        <v>0.17085120532410242</v>
      </c>
      <c r="U69" s="140">
        <f t="shared" ref="U69" si="1165">IF(ISNUMBER(U68), ($C$68 - U68) / $C$68, "")</f>
        <v>0.22531758937041402</v>
      </c>
      <c r="V69" s="140">
        <f t="shared" ref="V69" si="1166">IF(ISNUMBER(V68), ($C$68 - V68) / $C$68, "")</f>
        <v>0.28934702140276569</v>
      </c>
      <c r="W69" s="140">
        <f t="shared" ref="W69" si="1167">IF(ISNUMBER(W68), ($C$68 - W68) / $C$68, "")</f>
        <v>0.35410926506991569</v>
      </c>
      <c r="X69" s="140">
        <f t="shared" ref="X69" si="1168">IF(ISNUMBER(X68), ($C$68 - X68) / $C$68, "")</f>
        <v>0.42264135213759357</v>
      </c>
      <c r="Y69" s="140">
        <f t="shared" ref="Y69" si="1169">IF(ISNUMBER(Y68), ($C$68 - Y68) / $C$68, "")</f>
        <v>0.49364468636186698</v>
      </c>
      <c r="Z69" s="140">
        <f>IF(ISNUMBER(Z68), ($C$68 - Z68) / $C$68, "")</f>
        <v>0.56200149553335399</v>
      </c>
      <c r="AA69" s="141">
        <f t="shared" ref="AA69" si="1170">IF(ISNUMBER(AA68), ($C$68 - AA68) / $C$68, "")</f>
        <v>0.63672518077156071</v>
      </c>
      <c r="AB69" s="142">
        <f>AVERAGE(P69:AA69)</f>
        <v>0.27775007780462874</v>
      </c>
      <c r="AC69" s="143">
        <f>IF(ISNUMBER(AC68), ($C$68 - AC68) / $C$68, "")</f>
        <v>0.70169172634746413</v>
      </c>
      <c r="AD69" s="140">
        <f t="shared" ref="AD69" si="1171">IF(ISNUMBER(AD68), ($C$68 - AD68) / $C$68, "")</f>
        <v>0.78360333349824929</v>
      </c>
      <c r="AE69" s="140">
        <f t="shared" ref="AE69" si="1172">IF(ISNUMBER(AE68), ($C$68 - AE68) / $C$68, "")</f>
        <v>0.86477835195316766</v>
      </c>
      <c r="AF69" s="140">
        <f t="shared" ref="AF69" si="1173">IF(ISNUMBER(AF68), ($C$68 - AF68) / $C$68, "")</f>
        <v>0.95464133543508434</v>
      </c>
      <c r="AG69" s="140">
        <f t="shared" ref="AG69" si="1174">IF(ISNUMBER(AG68), ($C$68 - AG68) / $C$68, "")</f>
        <v>1.0406969228108698</v>
      </c>
      <c r="AH69" s="140">
        <f t="shared" ref="AH69" si="1175">IF(ISNUMBER(AH68), ($C$68 - AH68) / $C$68, "")</f>
        <v>1.1305425945539678</v>
      </c>
      <c r="AI69" s="140">
        <f t="shared" ref="AI69" si="1176">IF(ISNUMBER(AI68), ($C$68 - AI68) / $C$68, "")</f>
        <v>1.2211309776034327</v>
      </c>
      <c r="AJ69" s="140">
        <f t="shared" ref="AJ69" si="1177">IF(ISNUMBER(AJ68), ($C$68 - AJ68) / $C$68, "")</f>
        <v>1.312129357521471</v>
      </c>
      <c r="AK69" s="140">
        <f t="shared" ref="AK69" si="1178">IF(ISNUMBER(AK68), ($C$68 - AK68) / $C$68, "")</f>
        <v>1.402901270807599</v>
      </c>
      <c r="AL69" s="140">
        <f t="shared" ref="AL69" si="1179">IF(ISNUMBER(AL68), ($C$68 - AL68) / $C$68, "")</f>
        <v>1.4949471429991963</v>
      </c>
      <c r="AM69" s="140">
        <f>IF(ISNUMBER(AM68), ($C$68 - AM68) / $C$68, "")</f>
        <v>1.5852557121223849</v>
      </c>
      <c r="AN69" s="141">
        <f t="shared" ref="AN69" si="1180">IF(ISNUMBER(AN68), ($C$68 - AN68) / $C$68, "")</f>
        <v>1.6759704993979294</v>
      </c>
      <c r="AO69" s="142">
        <f>AVERAGE(AC69:AN69)</f>
        <v>1.1806907687542345</v>
      </c>
      <c r="AP69" s="143">
        <f>IF(ISNUMBER(AP68), ($C$68 - AP68) / $C$68, "")</f>
        <v>1.7627972292711078</v>
      </c>
      <c r="AQ69" s="140">
        <f t="shared" ref="AQ69" si="1181">IF(ISNUMBER(AQ68), ($C$68 - AQ68) / $C$68, "")</f>
        <v>1.8524594055366483</v>
      </c>
      <c r="AR69" s="140">
        <f t="shared" ref="AR69" si="1182">IF(ISNUMBER(AR68), ($C$68 - AR68) / $C$68, "")</f>
        <v>1.9388641376330575</v>
      </c>
      <c r="AS69" s="140">
        <f t="shared" ref="AS69" si="1183">IF(ISNUMBER(AS68), ($C$68 - AS68) / $C$68, "")</f>
        <v>2.0263792883807881</v>
      </c>
      <c r="AT69" s="140">
        <f t="shared" ref="AT69" si="1184">IF(ISNUMBER(AT68), ($C$68 - AT68) / $C$68, "")</f>
        <v>2.1144051722538455</v>
      </c>
      <c r="AU69" s="140">
        <f t="shared" ref="AU69" si="1185">IF(ISNUMBER(AU68), ($C$68 - AU68) / $C$68, "")</f>
        <v>2.2027326121541755</v>
      </c>
      <c r="AV69" s="140">
        <f t="shared" ref="AV69" si="1186">IF(ISNUMBER(AV68), ($C$68 - AV68) / $C$68, "")</f>
        <v>2.2915778980847419</v>
      </c>
      <c r="AW69" s="140">
        <f t="shared" ref="AW69" si="1187">IF(ISNUMBER(AW68), ($C$68 - AW68) / $C$68, "")</f>
        <v>2.3820704352250868</v>
      </c>
      <c r="AX69" s="140">
        <f t="shared" ref="AX69" si="1188">IF(ISNUMBER(AX68), ($C$68 - AX68) / $C$68, "")</f>
        <v>2.4736364646053173</v>
      </c>
      <c r="AY69" s="140">
        <f t="shared" ref="AY69" si="1189">IF(ISNUMBER(AY68), ($C$68 - AY68) / $C$68, "")</f>
        <v>2.564846924897898</v>
      </c>
      <c r="AZ69" s="140">
        <f>IF(ISNUMBER(AZ68), ($C$68 - AZ68) / $C$68, "")</f>
        <v>2.6560890608980801</v>
      </c>
      <c r="BA69" s="141">
        <f t="shared" ref="BA69" si="1190">IF(ISNUMBER(BA68), ($C$68 - BA68) / $C$68, "")</f>
        <v>2.7470621231426624</v>
      </c>
      <c r="BB69" s="142">
        <f>AVERAGE(AP69:BA69)</f>
        <v>2.251076729340284</v>
      </c>
      <c r="BC69" s="143">
        <f>IF(ISNUMBER(BC68), ($C$68 - BC68) / $C$68, "")</f>
        <v>2.8402666287709684</v>
      </c>
      <c r="BD69" s="140">
        <f t="shared" ref="BD69" si="1191">IF(ISNUMBER(BD68), ($C$68 - BD68) / $C$68, "")</f>
        <v>2.9336457016908271</v>
      </c>
      <c r="BE69" s="140">
        <f t="shared" ref="BE69" si="1192">IF(ISNUMBER(BE68), ($C$68 - BE68) / $C$68, "")</f>
        <v>3.02558756471154</v>
      </c>
      <c r="BF69" s="140">
        <f t="shared" ref="BF69" si="1193">IF(ISNUMBER(BF68), ($C$68 - BF68) / $C$68, "")</f>
        <v>3.1184146114902029</v>
      </c>
      <c r="BG69" s="140">
        <f t="shared" ref="BG69" si="1194">IF(ISNUMBER(BG68), ($C$68 - BG68) / $C$68, "")</f>
        <v>3.211535490191876</v>
      </c>
      <c r="BH69" s="140">
        <f t="shared" ref="BH69" si="1195">IF(ISNUMBER(BH68), ($C$68 - BH68) / $C$68, "")</f>
        <v>3.3047490490629916</v>
      </c>
      <c r="BI69" s="140">
        <f t="shared" ref="BI69" si="1196">IF(ISNUMBER(BI68), ($C$68 - BI68) / $C$68, "")</f>
        <v>3.3982793065132526</v>
      </c>
      <c r="BJ69" s="140">
        <f t="shared" ref="BJ69" si="1197">IF(ISNUMBER(BJ68), ($C$68 - BJ68) / $C$68, "")</f>
        <v>3.4932631101778915</v>
      </c>
      <c r="BK69" s="140">
        <f t="shared" ref="BK69" si="1198">IF(ISNUMBER(BK68), ($C$68 - BK68) / $C$68, "")</f>
        <v>3.5891338681718454</v>
      </c>
      <c r="BL69" s="140">
        <f t="shared" ref="BL69" si="1199">IF(ISNUMBER(BL68), ($C$68 - BL68) / $C$68, "")</f>
        <v>3.6844694210702706</v>
      </c>
      <c r="BM69" s="140">
        <f>IF(ISNUMBER(BM68), ($C$68 - BM68) / $C$68, "")</f>
        <v>3.7796636602007081</v>
      </c>
      <c r="BN69" s="141">
        <f t="shared" ref="BN69" si="1200">IF(ISNUMBER(BN68), ($C$68 - BN68) / $C$68, "")</f>
        <v>3.8744222367105556</v>
      </c>
      <c r="BO69" s="142">
        <f>AVERAGE(BC69:BN69)</f>
        <v>3.3544525540635779</v>
      </c>
      <c r="BP69" s="143">
        <f>IF(ISNUMBER(BP68), ($C$68 - BP68) / $C$68, "")</f>
        <v>3.9712447841484835</v>
      </c>
      <c r="BQ69" s="140">
        <f t="shared" ref="BQ69" si="1201">IF(ISNUMBER(BQ68), ($C$68 - BQ68) / $C$68, "")</f>
        <v>4.068066941976169</v>
      </c>
      <c r="BR69" s="140">
        <f t="shared" ref="BR69" si="1202">IF(ISNUMBER(BR68), ($C$68 - BR68) / $C$68, "")</f>
        <v>4.1809866828473359</v>
      </c>
      <c r="BS69" s="140">
        <f t="shared" ref="BS69" si="1203">IF(ISNUMBER(BS68), ($C$68 - BS68) / $C$68, "")</f>
        <v>4.2946483388432322</v>
      </c>
      <c r="BT69" s="140">
        <f t="shared" ref="BT69" si="1204">IF(ISNUMBER(BT68), ($C$68 - BT68) / $C$68, "")</f>
        <v>4.4084658590683476</v>
      </c>
      <c r="BU69" s="140">
        <f t="shared" ref="BU69" si="1205">IF(ISNUMBER(BU68), ($C$68 - BU68) / $C$68, "")</f>
        <v>4.5222431965737835</v>
      </c>
      <c r="BV69" s="140">
        <f t="shared" ref="BV69" si="1206">IF(ISNUMBER(BV68), ($C$68 - BV68) / $C$68, "")</f>
        <v>4.6362092856961405</v>
      </c>
      <c r="BW69" s="140">
        <f t="shared" ref="BW69" si="1207">IF(ISNUMBER(BW68), ($C$68 - BW68) / $C$68, "")</f>
        <v>4.7515057081082555</v>
      </c>
      <c r="BX69" s="140">
        <f t="shared" ref="BX69" si="1208">IF(ISNUMBER(BX68), ($C$68 - BX68) / $C$68, "")</f>
        <v>4.8675704308032737</v>
      </c>
      <c r="BY69" s="140">
        <f t="shared" ref="BY69" si="1209">IF(ISNUMBER(BY68), ($C$68 - BY68) / $C$68, "")</f>
        <v>4.9829856845560689</v>
      </c>
      <c r="BZ69" s="140">
        <f>IF(ISNUMBER(BZ68), ($C$68 - BZ68) / $C$68, "")</f>
        <v>5.0981495884565122</v>
      </c>
      <c r="CA69" s="141">
        <f t="shared" ref="CA69" si="1210">IF(ISNUMBER(CA68), ($C$68 - CA68) / $C$68, "")</f>
        <v>5.2127718649871211</v>
      </c>
      <c r="CB69" s="142">
        <f>AVERAGE(BP69:CA69)</f>
        <v>4.5829040305053939</v>
      </c>
      <c r="CC69" s="143">
        <f>IF(ISNUMBER(CC68), ($C$68 - CC68) / $C$68, "")</f>
        <v>5.3293401968263705</v>
      </c>
      <c r="CD69" s="140">
        <f t="shared" ref="CD69" si="1211">IF(ISNUMBER(CD68), ($C$68 - CD68) / $C$68, "")</f>
        <v>5.4457968515198747</v>
      </c>
      <c r="CE69" s="140">
        <f t="shared" ref="CE69" si="1212">IF(ISNUMBER(CE68), ($C$68 - CE68) / $C$68, "")</f>
        <v>5.5605728905791407</v>
      </c>
      <c r="CF69" s="140">
        <f t="shared" ref="CF69" si="1213">IF(ISNUMBER(CF68), ($C$68 - CF68) / $C$68, "")</f>
        <v>5.6759997136734661</v>
      </c>
      <c r="CG69" s="140">
        <f t="shared" ref="CG69" si="1214">IF(ISNUMBER(CG68), ($C$68 - CG68) / $C$68, "")</f>
        <v>5.7914946417576552</v>
      </c>
      <c r="CH69" s="140">
        <f t="shared" ref="CH69" si="1215">IF(ISNUMBER(CH68), ($C$68 - CH68) / $C$68, "")</f>
        <v>5.9068648749746684</v>
      </c>
      <c r="CI69" s="140">
        <f t="shared" ref="CI69" si="1216">IF(ISNUMBER(CI68), ($C$68 - CI68) / $C$68, "")</f>
        <v>6.0223424746105616</v>
      </c>
      <c r="CJ69" s="140">
        <f t="shared" ref="CJ69" si="1217">IF(ISNUMBER(CJ68), ($C$68 - CJ68) / $C$68, "")</f>
        <v>6.1390720335904989</v>
      </c>
      <c r="CK69" s="140">
        <f t="shared" ref="CK69" si="1218">IF(ISNUMBER(CK68), ($C$68 - CK68) / $C$68, "")</f>
        <v>6.2564944187436193</v>
      </c>
      <c r="CL69" s="140">
        <f t="shared" ref="CL69" si="1219">IF(ISNUMBER(CL68), ($C$68 - CL68) / $C$68, "")</f>
        <v>6.3731946533868564</v>
      </c>
      <c r="CM69" s="140">
        <f>IF(ISNUMBER(CM68), ($C$68 - CM68) / $C$68, "")</f>
        <v>6.4895735458280805</v>
      </c>
      <c r="CN69" s="141">
        <f t="shared" ref="CN69" si="1220">IF(ISNUMBER(CN68), ($C$68 - CN68) / $C$68, "")</f>
        <v>6.6053434082667515</v>
      </c>
      <c r="CO69" s="142">
        <f>AVERAGE(CC69:CN69)</f>
        <v>5.9663408086464615</v>
      </c>
      <c r="CP69" s="143">
        <f>IF(ISNUMBER(CP68), ($C$68 - CP68) / $C$68, "")</f>
        <v>6.7229723633343648</v>
      </c>
      <c r="CQ69" s="140">
        <f t="shared" ref="CQ69" si="1221">IF(ISNUMBER(CQ68), ($C$68 - CQ68) / $C$68, "")</f>
        <v>6.8404188528767431</v>
      </c>
      <c r="CR69" s="140">
        <f t="shared" ref="CR69" si="1222">IF(ISNUMBER(CR68), ($C$68 - CR68) / $C$68, "")</f>
        <v>6.9561245324359282</v>
      </c>
      <c r="CS69" s="140">
        <f t="shared" ref="CS69" si="1223">IF(ISNUMBER(CS68), ($C$68 - CS68) / $C$68, "")</f>
        <v>7.0724230288721275</v>
      </c>
      <c r="CT69" s="140">
        <f t="shared" ref="CT69" si="1224">IF(ISNUMBER(CT68), ($C$68 - CT68) / $C$68, "")</f>
        <v>7.1887338079249945</v>
      </c>
      <c r="CU69" s="140">
        <f t="shared" ref="CU69" si="1225">IF(ISNUMBER(CU68), ($C$68 - CU68) / $C$68, "")</f>
        <v>7.3048661351652955</v>
      </c>
      <c r="CV69" s="140">
        <f t="shared" ref="CV69" si="1226">IF(ISNUMBER(CV68), ($C$68 - CV68) / $C$68, "")</f>
        <v>7.4210540608860693</v>
      </c>
      <c r="CW69" s="140">
        <f t="shared" ref="CW69" si="1227">IF(ISNUMBER(CW68), ($C$68 - CW68) / $C$68, "")</f>
        <v>7.5384440934261985</v>
      </c>
      <c r="CX69" s="140">
        <f t="shared" ref="CX69" si="1228">IF(ISNUMBER(CX68), ($C$68 - CX68) / $C$68, "")</f>
        <v>7.6564789441582368</v>
      </c>
      <c r="CY69" s="140">
        <f t="shared" ref="CY69" si="1229">IF(ISNUMBER(CY68), ($C$68 - CY68) / $C$68, "")</f>
        <v>7.7737454126944234</v>
      </c>
      <c r="CZ69" s="140">
        <f>IF(ISNUMBER(CZ68), ($C$68 - CZ68) / $C$68, "")</f>
        <v>7.8906460179150111</v>
      </c>
      <c r="DA69" s="141">
        <f t="shared" ref="DA69" si="1230">IF(ISNUMBER(DA68), ($C$68 - DA68) / $C$68, "")</f>
        <v>8.0068947193006608</v>
      </c>
      <c r="DB69" s="142">
        <f>AVERAGE(CP69:DA69)</f>
        <v>7.3644001640825048</v>
      </c>
      <c r="DC69" s="143">
        <f>IF(ISNUMBER(DC68), ($C$68 - DC68) / $C$68, "")</f>
        <v>8.1249346414358037</v>
      </c>
      <c r="DD69" s="140">
        <f t="shared" ref="DD69" si="1231">IF(ISNUMBER(DD68), ($C$68 - DD68) / $C$68, "")</f>
        <v>8.2427470705891501</v>
      </c>
      <c r="DE69" s="140">
        <f t="shared" ref="DE69" si="1232">IF(ISNUMBER(DE68), ($C$68 - DE68) / $C$68, "")</f>
        <v>8.3587804010111739</v>
      </c>
      <c r="DF69" s="140">
        <f t="shared" ref="DF69" si="1233">IF(ISNUMBER(DF68), ($C$68 - DF68) / $C$68, "")</f>
        <v>8.4753696762457604</v>
      </c>
      <c r="DG69" s="140">
        <f t="shared" ref="DG69" si="1234">IF(ISNUMBER(DG68), ($C$68 - DG68) / $C$68, "")</f>
        <v>8.5919357262989493</v>
      </c>
      <c r="DH69" s="140">
        <f t="shared" ref="DH69" si="1235">IF(ISNUMBER(DH68), ($C$68 - DH68) / $C$68, "")</f>
        <v>8.7082891305300372</v>
      </c>
      <c r="DI69" s="140">
        <f t="shared" ref="DI69" si="1236">IF(ISNUMBER(DI68), ($C$68 - DI68) / $C$68, "")</f>
        <v>8.8246652044104117</v>
      </c>
      <c r="DJ69" s="140">
        <f t="shared" ref="DJ69" si="1237">IF(ISNUMBER(DJ68), ($C$68 - DJ68) / $C$68, "")</f>
        <v>8.9422116746457139</v>
      </c>
      <c r="DK69" s="140">
        <f t="shared" ref="DK69" si="1238">IF(ISNUMBER(DK68), ($C$68 - DK68) / $C$68, "")</f>
        <v>9.0603724258956753</v>
      </c>
      <c r="DL69" s="140">
        <f t="shared" ref="DL69" si="1239">IF(ISNUMBER(DL68), ($C$68 - DL68) / $C$68, "")</f>
        <v>9.1777353876481005</v>
      </c>
      <c r="DM69" s="140">
        <f>IF(ISNUMBER(DM68), ($C$68 - DM68) / $C$68, "")</f>
        <v>9.2947041668533998</v>
      </c>
      <c r="DN69" s="141">
        <f t="shared" ref="DN69" si="1240">IF(ISNUMBER(DN68), ($C$68 - DN68) / $C$68, "")</f>
        <v>9.4109937708038007</v>
      </c>
      <c r="DO69" s="142">
        <f>AVERAGE(DC69:DN69)</f>
        <v>8.7677282730306647</v>
      </c>
      <c r="DP69" s="143">
        <f>IF(ISNUMBER(DP68), ($C$68 - DP68) / $C$68, "")</f>
        <v>9.5290182391947535</v>
      </c>
      <c r="DQ69" s="140">
        <f t="shared" ref="DQ69" si="1241">IF(ISNUMBER(DQ68), ($C$68 - DQ68) / $C$68, "")</f>
        <v>9.646786573294996</v>
      </c>
      <c r="DR69" s="140">
        <f t="shared" ref="DR69" si="1242">IF(ISNUMBER(DR68), ($C$68 - DR68) / $C$68, "")</f>
        <v>9.7627514537492281</v>
      </c>
      <c r="DS69" s="140">
        <f t="shared" ref="DS69" si="1243">IF(ISNUMBER(DS68), ($C$68 - DS68) / $C$68, "")</f>
        <v>9.8792488252331818</v>
      </c>
      <c r="DT69" s="140">
        <f t="shared" ref="DT69" si="1244">IF(ISNUMBER(DT68), ($C$68 - DT68) / $C$68, "")</f>
        <v>9.9957003855428592</v>
      </c>
      <c r="DU69" s="140">
        <f t="shared" ref="DU69" si="1245">IF(ISNUMBER(DU68), ($C$68 - DU68) / $C$68, "")</f>
        <v>10.111917549719296</v>
      </c>
      <c r="DV69" s="140">
        <f t="shared" ref="DV69" si="1246">IF(ISNUMBER(DV68), ($C$68 - DV68) / $C$68, "")</f>
        <v>10.228136437995389</v>
      </c>
      <c r="DW69" s="140">
        <f t="shared" ref="DW69" si="1247">IF(ISNUMBER(DW68), ($C$68 - DW68) / $C$68, "")</f>
        <v>10.345505552062116</v>
      </c>
      <c r="DX69" s="140">
        <f t="shared" ref="DX69" si="1248">IF(ISNUMBER(DX68), ($C$68 - DX68) / $C$68, "")</f>
        <v>10.46346952289009</v>
      </c>
      <c r="DY69" s="140">
        <f t="shared" ref="DY69" si="1249">IF(ISNUMBER(DY68), ($C$68 - DY68) / $C$68, "")</f>
        <v>10.580616998664491</v>
      </c>
      <c r="DZ69" s="140">
        <f>IF(ISNUMBER(DZ68), ($C$68 - DZ68) / $C$68, "")</f>
        <v>10.697352278441299</v>
      </c>
      <c r="EA69" s="141">
        <f t="shared" ref="EA69" si="1250">IF(ISNUMBER(EA68), ($C$68 - EA68) / $C$68, "")</f>
        <v>10.813391036010414</v>
      </c>
      <c r="EB69" s="144">
        <f>AVERAGE(DP69:EA69)</f>
        <v>10.171157904399845</v>
      </c>
    </row>
    <row r="70" spans="1:132" s="7" customFormat="1" ht="24" customHeight="1">
      <c r="A70" s="206"/>
      <c r="C70" s="207"/>
      <c r="D70" s="207"/>
      <c r="E70" s="207"/>
      <c r="F70" s="207"/>
      <c r="G70" s="207"/>
      <c r="H70" s="207"/>
      <c r="I70" s="207"/>
      <c r="J70" s="207"/>
      <c r="K70" s="207"/>
      <c r="L70" s="207"/>
      <c r="M70" s="207"/>
      <c r="N70" s="207"/>
      <c r="O70" s="208"/>
      <c r="P70" s="207"/>
      <c r="Q70" s="207"/>
      <c r="R70" s="207"/>
      <c r="S70" s="207"/>
      <c r="T70" s="207"/>
      <c r="U70" s="207"/>
      <c r="V70" s="207"/>
      <c r="W70" s="207"/>
      <c r="X70" s="207"/>
      <c r="Y70" s="207"/>
      <c r="Z70" s="207"/>
      <c r="AA70" s="207"/>
      <c r="AB70" s="208"/>
      <c r="AC70" s="207"/>
      <c r="AD70" s="207"/>
      <c r="AE70" s="207"/>
      <c r="AF70" s="207"/>
      <c r="AG70" s="207"/>
      <c r="AH70" s="207"/>
      <c r="AI70" s="207"/>
      <c r="AJ70" s="207"/>
      <c r="AK70" s="207"/>
      <c r="AL70" s="207"/>
      <c r="AM70" s="207"/>
      <c r="AN70" s="207"/>
      <c r="AO70" s="208"/>
      <c r="AP70" s="207"/>
      <c r="AQ70" s="207"/>
      <c r="AR70" s="207"/>
      <c r="AS70" s="207"/>
      <c r="AT70" s="207"/>
      <c r="AU70" s="207"/>
      <c r="AV70" s="207"/>
      <c r="AW70" s="207"/>
      <c r="AX70" s="207"/>
      <c r="AY70" s="207"/>
      <c r="AZ70" s="207"/>
      <c r="BA70" s="207"/>
      <c r="BB70" s="208"/>
      <c r="BC70" s="207"/>
      <c r="BD70" s="207"/>
      <c r="BE70" s="207"/>
      <c r="BF70" s="207"/>
      <c r="BG70" s="207"/>
      <c r="BH70" s="207"/>
      <c r="BI70" s="207"/>
      <c r="BJ70" s="207"/>
      <c r="BK70" s="207"/>
      <c r="BL70" s="207"/>
      <c r="BM70" s="207"/>
      <c r="BN70" s="207"/>
      <c r="BO70" s="208"/>
      <c r="BP70" s="207"/>
      <c r="BQ70" s="207"/>
      <c r="BR70" s="207"/>
      <c r="BS70" s="207"/>
      <c r="BT70" s="207"/>
      <c r="BU70" s="207"/>
      <c r="BV70" s="207"/>
      <c r="BW70" s="207"/>
      <c r="BX70" s="207"/>
      <c r="BY70" s="207"/>
      <c r="BZ70" s="207"/>
      <c r="CA70" s="207"/>
      <c r="CB70" s="208"/>
      <c r="CC70" s="207"/>
      <c r="CD70" s="207"/>
      <c r="CE70" s="207"/>
      <c r="CF70" s="207"/>
      <c r="CG70" s="207"/>
      <c r="CH70" s="207"/>
      <c r="CI70" s="207"/>
      <c r="CJ70" s="207"/>
      <c r="CK70" s="207"/>
      <c r="CL70" s="207"/>
      <c r="CM70" s="207"/>
      <c r="CN70" s="207"/>
      <c r="CO70" s="208"/>
      <c r="CP70" s="207"/>
      <c r="CQ70" s="207"/>
      <c r="CR70" s="207"/>
      <c r="CS70" s="207"/>
      <c r="CT70" s="207"/>
      <c r="CU70" s="207"/>
      <c r="CV70" s="207"/>
      <c r="CW70" s="207"/>
      <c r="CX70" s="207"/>
      <c r="CY70" s="207"/>
      <c r="CZ70" s="207"/>
      <c r="DA70" s="207"/>
      <c r="DB70" s="208"/>
      <c r="DC70" s="207"/>
      <c r="DD70" s="207"/>
      <c r="DE70" s="207"/>
      <c r="DF70" s="207"/>
      <c r="DG70" s="207"/>
      <c r="DH70" s="207"/>
      <c r="DI70" s="207"/>
      <c r="DJ70" s="207"/>
      <c r="DK70" s="207"/>
      <c r="DL70" s="207"/>
      <c r="DM70" s="207"/>
      <c r="DN70" s="207"/>
      <c r="DO70" s="208"/>
      <c r="DP70" s="207"/>
      <c r="DQ70" s="207"/>
      <c r="DR70" s="207"/>
      <c r="DS70" s="207"/>
      <c r="DT70" s="207"/>
      <c r="DU70" s="207"/>
      <c r="DV70" s="207"/>
      <c r="DW70" s="207"/>
      <c r="DX70" s="207"/>
      <c r="DY70" s="207"/>
      <c r="DZ70" s="207"/>
      <c r="EA70" s="207"/>
      <c r="EB70" s="209"/>
    </row>
    <row r="71" spans="1:132" s="7" customFormat="1" ht="24" customHeight="1">
      <c r="A71" s="206"/>
      <c r="C71" s="207"/>
      <c r="D71" s="207"/>
      <c r="E71" s="207"/>
      <c r="F71" s="207"/>
      <c r="G71" s="207"/>
      <c r="H71" s="207"/>
      <c r="I71" s="207"/>
      <c r="J71" s="207"/>
      <c r="K71" s="207"/>
      <c r="L71" s="207"/>
      <c r="M71" s="207"/>
      <c r="N71" s="207"/>
      <c r="O71" s="208"/>
      <c r="P71" s="207"/>
      <c r="Q71" s="207"/>
      <c r="R71" s="207"/>
      <c r="S71" s="207"/>
      <c r="T71" s="207"/>
      <c r="U71" s="207"/>
      <c r="V71" s="207"/>
      <c r="W71" s="207"/>
      <c r="X71" s="207"/>
      <c r="Y71" s="207"/>
      <c r="Z71" s="207"/>
      <c r="AA71" s="207"/>
      <c r="AB71" s="208"/>
      <c r="AC71" s="207"/>
      <c r="AD71" s="207"/>
      <c r="AE71" s="207"/>
      <c r="AF71" s="207"/>
      <c r="AG71" s="207"/>
      <c r="AH71" s="207"/>
      <c r="AI71" s="207"/>
      <c r="AJ71" s="207"/>
      <c r="AK71" s="207"/>
      <c r="AL71" s="207"/>
      <c r="AM71" s="207"/>
      <c r="AN71" s="207"/>
      <c r="AO71" s="208"/>
      <c r="AP71" s="207"/>
      <c r="AQ71" s="207"/>
      <c r="AR71" s="207"/>
      <c r="AS71" s="207"/>
      <c r="AT71" s="207"/>
      <c r="AU71" s="207"/>
      <c r="AV71" s="207"/>
      <c r="AW71" s="207"/>
      <c r="AX71" s="207"/>
      <c r="AY71" s="207"/>
      <c r="AZ71" s="207"/>
      <c r="BA71" s="207"/>
      <c r="BB71" s="208"/>
      <c r="BC71" s="207"/>
      <c r="BD71" s="207"/>
      <c r="BE71" s="207"/>
      <c r="BF71" s="207"/>
      <c r="BG71" s="207"/>
      <c r="BH71" s="207"/>
      <c r="BI71" s="207"/>
      <c r="BJ71" s="207"/>
      <c r="BK71" s="207"/>
      <c r="BL71" s="207"/>
      <c r="BM71" s="207"/>
      <c r="BN71" s="207"/>
      <c r="BO71" s="208"/>
      <c r="BP71" s="207"/>
      <c r="BQ71" s="207"/>
      <c r="BR71" s="207"/>
      <c r="BS71" s="207"/>
      <c r="BT71" s="207"/>
      <c r="BU71" s="207"/>
      <c r="BV71" s="207"/>
      <c r="BW71" s="207"/>
      <c r="BX71" s="207"/>
      <c r="BY71" s="207"/>
      <c r="BZ71" s="207"/>
      <c r="CA71" s="207"/>
      <c r="CB71" s="208"/>
      <c r="CC71" s="207"/>
      <c r="CD71" s="207"/>
      <c r="CE71" s="207"/>
      <c r="CF71" s="207"/>
      <c r="CG71" s="207"/>
      <c r="CH71" s="207"/>
      <c r="CI71" s="207"/>
      <c r="CJ71" s="207"/>
      <c r="CK71" s="207"/>
      <c r="CL71" s="207"/>
      <c r="CM71" s="207"/>
      <c r="CN71" s="207"/>
      <c r="CO71" s="208"/>
      <c r="CP71" s="207"/>
      <c r="CQ71" s="207"/>
      <c r="CR71" s="207"/>
      <c r="CS71" s="207"/>
      <c r="CT71" s="207"/>
      <c r="CU71" s="207"/>
      <c r="CV71" s="207"/>
      <c r="CW71" s="207"/>
      <c r="CX71" s="207"/>
      <c r="CY71" s="207"/>
      <c r="CZ71" s="207"/>
      <c r="DA71" s="207"/>
      <c r="DB71" s="208"/>
      <c r="DC71" s="207"/>
      <c r="DD71" s="207"/>
      <c r="DE71" s="207"/>
      <c r="DF71" s="207"/>
      <c r="DG71" s="207"/>
      <c r="DH71" s="207"/>
      <c r="DI71" s="207"/>
      <c r="DJ71" s="207"/>
      <c r="DK71" s="207"/>
      <c r="DL71" s="207"/>
      <c r="DM71" s="207"/>
      <c r="DN71" s="207"/>
      <c r="DO71" s="208"/>
      <c r="DP71" s="207"/>
      <c r="DQ71" s="207"/>
      <c r="DR71" s="207"/>
      <c r="DS71" s="207"/>
      <c r="DT71" s="207"/>
      <c r="DU71" s="207"/>
      <c r="DV71" s="207"/>
      <c r="DW71" s="207"/>
      <c r="DX71" s="207"/>
      <c r="DY71" s="207"/>
      <c r="DZ71" s="207"/>
      <c r="EA71" s="207"/>
      <c r="EB71" s="209"/>
    </row>
    <row r="72" spans="1:132" s="7" customFormat="1" ht="24" customHeight="1">
      <c r="A72" s="206"/>
      <c r="C72" s="207"/>
      <c r="D72" s="207"/>
      <c r="E72" s="207"/>
      <c r="F72" s="207"/>
      <c r="G72" s="207"/>
      <c r="H72" s="207"/>
      <c r="I72" s="207"/>
      <c r="J72" s="207"/>
      <c r="K72" s="207"/>
      <c r="L72" s="207"/>
      <c r="M72" s="207"/>
      <c r="N72" s="207"/>
      <c r="O72" s="208"/>
      <c r="P72" s="207"/>
      <c r="Q72" s="207"/>
      <c r="R72" s="207"/>
      <c r="S72" s="207"/>
      <c r="T72" s="207"/>
      <c r="U72" s="207"/>
      <c r="V72" s="207"/>
      <c r="W72" s="207"/>
      <c r="X72" s="207"/>
      <c r="Y72" s="207"/>
      <c r="Z72" s="207"/>
      <c r="AA72" s="207"/>
      <c r="AB72" s="208"/>
      <c r="AC72" s="207"/>
      <c r="AD72" s="207"/>
      <c r="AE72" s="207"/>
      <c r="AF72" s="207"/>
      <c r="AG72" s="207"/>
      <c r="AH72" s="207"/>
      <c r="AI72" s="207"/>
      <c r="AJ72" s="207"/>
      <c r="AK72" s="207"/>
      <c r="AL72" s="207"/>
      <c r="AM72" s="207"/>
      <c r="AN72" s="207"/>
      <c r="AO72" s="208"/>
      <c r="AP72" s="207"/>
      <c r="AQ72" s="207"/>
      <c r="AR72" s="207"/>
      <c r="AS72" s="207"/>
      <c r="AT72" s="207"/>
      <c r="AU72" s="207"/>
      <c r="AV72" s="207"/>
      <c r="AW72" s="207"/>
      <c r="AX72" s="207"/>
      <c r="AY72" s="207"/>
      <c r="AZ72" s="207"/>
      <c r="BA72" s="207"/>
      <c r="BB72" s="208"/>
      <c r="BC72" s="207"/>
      <c r="BD72" s="207"/>
      <c r="BE72" s="207"/>
      <c r="BF72" s="207"/>
      <c r="BG72" s="207"/>
      <c r="BH72" s="207"/>
      <c r="BI72" s="207"/>
      <c r="BJ72" s="207"/>
      <c r="BK72" s="207"/>
      <c r="BL72" s="207"/>
      <c r="BM72" s="207"/>
      <c r="BN72" s="207"/>
      <c r="BO72" s="208"/>
      <c r="BP72" s="207"/>
      <c r="BQ72" s="207"/>
      <c r="BR72" s="207"/>
      <c r="BS72" s="207"/>
      <c r="BT72" s="207"/>
      <c r="BU72" s="207"/>
      <c r="BV72" s="207"/>
      <c r="BW72" s="207"/>
      <c r="BX72" s="207"/>
      <c r="BY72" s="207"/>
      <c r="BZ72" s="207"/>
      <c r="CA72" s="207"/>
      <c r="CB72" s="208"/>
      <c r="CC72" s="207"/>
      <c r="CD72" s="207"/>
      <c r="CE72" s="207"/>
      <c r="CF72" s="207"/>
      <c r="CG72" s="207"/>
      <c r="CH72" s="207"/>
      <c r="CI72" s="207"/>
      <c r="CJ72" s="207"/>
      <c r="CK72" s="207"/>
      <c r="CL72" s="207"/>
      <c r="CM72" s="207"/>
      <c r="CN72" s="207"/>
      <c r="CO72" s="208"/>
      <c r="CP72" s="207"/>
      <c r="CQ72" s="207"/>
      <c r="CR72" s="207"/>
      <c r="CS72" s="207"/>
      <c r="CT72" s="207"/>
      <c r="CU72" s="207"/>
      <c r="CV72" s="207"/>
      <c r="CW72" s="207"/>
      <c r="CX72" s="207"/>
      <c r="CY72" s="207"/>
      <c r="CZ72" s="207"/>
      <c r="DA72" s="207"/>
      <c r="DB72" s="208"/>
      <c r="DC72" s="207"/>
      <c r="DD72" s="207"/>
      <c r="DE72" s="207"/>
      <c r="DF72" s="207"/>
      <c r="DG72" s="207"/>
      <c r="DH72" s="207"/>
      <c r="DI72" s="207"/>
      <c r="DJ72" s="207"/>
      <c r="DK72" s="207"/>
      <c r="DL72" s="207"/>
      <c r="DM72" s="207"/>
      <c r="DN72" s="207"/>
      <c r="DO72" s="208"/>
      <c r="DP72" s="207"/>
      <c r="DQ72" s="207"/>
      <c r="DR72" s="207"/>
      <c r="DS72" s="207"/>
      <c r="DT72" s="207"/>
      <c r="DU72" s="207"/>
      <c r="DV72" s="207"/>
      <c r="DW72" s="207"/>
      <c r="DX72" s="207"/>
      <c r="DY72" s="207"/>
      <c r="DZ72" s="207"/>
      <c r="EA72" s="207"/>
      <c r="EB72" s="209"/>
    </row>
    <row r="77" spans="1:132" ht="24" customHeight="1">
      <c r="B77" s="255"/>
    </row>
    <row r="78" spans="1:132" ht="24" customHeight="1">
      <c r="B78" s="255"/>
    </row>
  </sheetData>
  <sheetProtection sheet="1" objects="1" scenarios="1"/>
  <mergeCells count="27">
    <mergeCell ref="A68:B69"/>
    <mergeCell ref="DP3:EA3"/>
    <mergeCell ref="C3:N3"/>
    <mergeCell ref="P3:AA3"/>
    <mergeCell ref="AC3:AN3"/>
    <mergeCell ref="AP3:BA3"/>
    <mergeCell ref="BC3:BN3"/>
    <mergeCell ref="CP3:DA3"/>
    <mergeCell ref="DC3:DN3"/>
    <mergeCell ref="A53:B53"/>
    <mergeCell ref="A28:B28"/>
    <mergeCell ref="BP3:CA3"/>
    <mergeCell ref="CC3:CN3"/>
    <mergeCell ref="A61:B61"/>
    <mergeCell ref="A59:B59"/>
    <mergeCell ref="A60:B60"/>
    <mergeCell ref="A54:B54"/>
    <mergeCell ref="A55:B55"/>
    <mergeCell ref="A4:B4"/>
    <mergeCell ref="A13:B13"/>
    <mergeCell ref="A24:B24"/>
    <mergeCell ref="A29:B29"/>
    <mergeCell ref="A62:B62"/>
    <mergeCell ref="A63:B63"/>
    <mergeCell ref="A64:B64"/>
    <mergeCell ref="A65:B65"/>
    <mergeCell ref="A66:B66"/>
  </mergeCells>
  <phoneticPr fontId="5"/>
  <conditionalFormatting sqref="E4:EA4">
    <cfRule type="expression" dxfId="1" priority="2">
      <formula>E4=_xlfn.MAXIFS($F$4:$EB$4, $F$4:$EB$4, "&lt;&gt;"&amp;$O$4, $F$4:$EB$4, "&lt;&gt;"&amp;$AB$4, $F$4:$EB$4, "&lt;&gt;"&amp;$AO$4, $F$4:$EB$4, "&lt;&gt;"&amp;$BB$4, $F$4:$EB$4, "&lt;&gt;"&amp;$BO$4, $F$4:$EB$4, "&lt;&gt;"&amp;$CB$4, $F$4:$EB$4, "&lt;&gt;"&amp;$CO$4, $F$4:$EB$4, "&lt;&gt;"&amp;$DB$4, $F$4:$EB$4, "&lt;&gt;"&amp;$DO$4, $F$4:$EB$4, "&lt;&gt;"&amp;$EB$4)</formula>
    </cfRule>
  </conditionalFormatting>
  <pageMargins left="0.7" right="0.7" top="0.75" bottom="0.75" header="0.3" footer="0.3"/>
  <pageSetup paperSize="9" scale="1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64F43-26A7-4D97-8F7D-9DC7F2647D80}">
  <sheetPr>
    <tabColor theme="1"/>
    <pageSetUpPr fitToPage="1"/>
  </sheetPr>
  <dimension ref="A2:W61"/>
  <sheetViews>
    <sheetView showGridLines="0" view="pageBreakPreview" zoomScale="60" zoomScaleNormal="50" workbookViewId="0">
      <selection activeCell="D6" sqref="D6"/>
    </sheetView>
  </sheetViews>
  <sheetFormatPr defaultRowHeight="19" customHeight="1"/>
  <cols>
    <col min="1" max="1" width="30" style="14" customWidth="1"/>
    <col min="2" max="2" width="15.5" style="14" customWidth="1"/>
    <col min="3" max="3" width="11.5" style="14" customWidth="1"/>
    <col min="4" max="4" width="15.5" style="14" customWidth="1"/>
    <col min="5" max="5" width="11.5" style="14" customWidth="1"/>
    <col min="6" max="6" width="15.5" style="14" customWidth="1"/>
    <col min="7" max="7" width="11.5" style="14" customWidth="1"/>
    <col min="8" max="8" width="15.5" style="14" customWidth="1"/>
    <col min="9" max="9" width="11.5" style="14" customWidth="1"/>
    <col min="10" max="10" width="15.5" style="14" customWidth="1"/>
    <col min="11" max="11" width="11.5" style="14" customWidth="1"/>
    <col min="12" max="12" width="15.5" style="15" customWidth="1"/>
    <col min="13" max="13" width="11.5" style="15" customWidth="1"/>
    <col min="14" max="14" width="15.5" style="15" customWidth="1"/>
    <col min="15" max="15" width="11.5" style="15" customWidth="1"/>
    <col min="16" max="16" width="15.5" style="15" customWidth="1"/>
    <col min="17" max="17" width="11.5" style="15" customWidth="1"/>
    <col min="18" max="18" width="15.5" style="15" customWidth="1"/>
    <col min="19" max="19" width="11.5" style="15" customWidth="1"/>
    <col min="20" max="20" width="15.5" style="15" customWidth="1"/>
    <col min="21" max="21" width="11.5" style="15" customWidth="1"/>
    <col min="22" max="22" width="15.5" style="15" customWidth="1"/>
    <col min="23" max="23" width="11.5" style="15" customWidth="1"/>
    <col min="24" max="16384" width="8.6640625" style="15"/>
  </cols>
  <sheetData>
    <row r="2" spans="1:23" ht="19" customHeight="1">
      <c r="A2" s="55" t="s">
        <v>288</v>
      </c>
    </row>
    <row r="3" spans="1:23" ht="19" customHeight="1">
      <c r="B3" s="16"/>
      <c r="C3" s="16"/>
      <c r="I3" s="1"/>
      <c r="L3" s="8"/>
      <c r="M3" s="8"/>
      <c r="T3" s="14"/>
      <c r="W3" s="17" t="s">
        <v>223</v>
      </c>
    </row>
    <row r="4" spans="1:23" ht="19" customHeight="1">
      <c r="B4" s="16"/>
      <c r="C4" s="16"/>
      <c r="I4" s="1"/>
      <c r="L4" s="8"/>
      <c r="M4" s="8"/>
      <c r="T4" s="14"/>
    </row>
    <row r="5" spans="1:23" ht="19" customHeight="1">
      <c r="A5" s="18"/>
      <c r="B5" s="386" t="s">
        <v>248</v>
      </c>
      <c r="C5" s="387"/>
      <c r="D5" s="388" t="s">
        <v>249</v>
      </c>
      <c r="E5" s="389"/>
      <c r="F5" s="388" t="s">
        <v>250</v>
      </c>
      <c r="G5" s="389"/>
      <c r="H5" s="388" t="s">
        <v>251</v>
      </c>
      <c r="I5" s="389"/>
      <c r="J5" s="388" t="s">
        <v>252</v>
      </c>
      <c r="K5" s="389"/>
      <c r="L5" s="388" t="s">
        <v>253</v>
      </c>
      <c r="M5" s="389"/>
      <c r="N5" s="388" t="s">
        <v>254</v>
      </c>
      <c r="O5" s="389"/>
      <c r="P5" s="388" t="s">
        <v>255</v>
      </c>
      <c r="Q5" s="389"/>
      <c r="R5" s="388" t="s">
        <v>256</v>
      </c>
      <c r="S5" s="389"/>
      <c r="T5" s="388" t="s">
        <v>257</v>
      </c>
      <c r="U5" s="389"/>
      <c r="V5" s="388" t="s">
        <v>51</v>
      </c>
      <c r="W5" s="390"/>
    </row>
    <row r="6" spans="1:23" ht="19" customHeight="1">
      <c r="A6" s="56" t="s">
        <v>48</v>
      </c>
      <c r="B6" s="20" t="str">
        <f>INT('損益計算｜詳細'!O4/9)&amp;"名"</f>
        <v>924名</v>
      </c>
      <c r="C6" s="20"/>
      <c r="D6" s="21" t="str">
        <f>INT('損益計算｜詳細'!AB4/12)&amp;"名"</f>
        <v>1119名</v>
      </c>
      <c r="E6" s="21"/>
      <c r="F6" s="21" t="str">
        <f>INT('損益計算｜詳細'!AO4/12)&amp;"名"</f>
        <v>1237名</v>
      </c>
      <c r="G6" s="21"/>
      <c r="H6" s="21" t="str">
        <f>INT('損益計算｜詳細'!BB4/12)&amp;"名"</f>
        <v>1248名</v>
      </c>
      <c r="I6" s="21"/>
      <c r="J6" s="21" t="str">
        <f>INT('損益計算｜詳細'!BO4/12)&amp;"名"</f>
        <v>1288名</v>
      </c>
      <c r="K6" s="21"/>
      <c r="L6" s="21" t="str">
        <f>INT('損益計算｜詳細'!CB4/12)&amp;"名"</f>
        <v>1313名</v>
      </c>
      <c r="M6" s="21"/>
      <c r="N6" s="21" t="str">
        <f>INT('損益計算｜詳細'!CO4/12)&amp;"名"</f>
        <v>1329名</v>
      </c>
      <c r="O6" s="21"/>
      <c r="P6" s="21" t="str">
        <f>INT('損益計算｜詳細'!DB4/12)&amp;"名"</f>
        <v>1339名</v>
      </c>
      <c r="Q6" s="21"/>
      <c r="R6" s="21" t="str">
        <f>INT('損益計算｜詳細'!DO4/12)&amp;"名"</f>
        <v>1345名</v>
      </c>
      <c r="S6" s="21"/>
      <c r="T6" s="21" t="str">
        <f>INT('損益計算｜詳細'!EB4/12)&amp;"名"</f>
        <v>1349名</v>
      </c>
      <c r="U6" s="21"/>
      <c r="V6" s="21" t="str">
        <f>INT(SUM('損益計算｜詳細'!O4,'損益計算｜詳細'!AB4,'損益計算｜詳細'!AO4,'損益計算｜詳細'!BB4,'損益計算｜詳細'!BO4,'損益計算｜詳細'!CB4,'損益計算｜詳細'!CO4,'損益計算｜詳細'!DB4,'損益計算｜詳細'!DO4,'損益計算｜詳細'!EB4)/117)&amp;"名"</f>
        <v>1257名</v>
      </c>
      <c r="W6" s="21"/>
    </row>
    <row r="7" spans="1:23" ht="19" customHeight="1">
      <c r="A7" s="22" t="s">
        <v>258</v>
      </c>
      <c r="B7" s="23">
        <f>'損益計算｜詳細'!O12</f>
        <v>4184.4815775807156</v>
      </c>
      <c r="C7" s="23"/>
      <c r="D7" s="23">
        <f>'損益計算｜詳細'!AB12</f>
        <v>4374.8213960314788</v>
      </c>
      <c r="E7" s="23"/>
      <c r="F7" s="23">
        <f>'損益計算｜詳細'!AO12</f>
        <v>4582.473583787978</v>
      </c>
      <c r="G7" s="23"/>
      <c r="H7" s="23">
        <f>'損益計算｜詳細'!BB12</f>
        <v>4595.3119363548421</v>
      </c>
      <c r="I7" s="23"/>
      <c r="J7" s="23">
        <f>'損益計算｜詳細'!BO12</f>
        <v>4602.0679400199406</v>
      </c>
      <c r="K7" s="23"/>
      <c r="L7" s="23">
        <f>'損益計算｜詳細'!CB12</f>
        <v>4608.7004355864647</v>
      </c>
      <c r="M7" s="23"/>
      <c r="N7" s="23">
        <f>'損益計算｜詳細'!CO12</f>
        <v>4612.7873189579941</v>
      </c>
      <c r="O7" s="23"/>
      <c r="P7" s="23">
        <f>'損益計算｜詳細'!DB12</f>
        <v>4615.3356392508804</v>
      </c>
      <c r="Q7" s="23"/>
      <c r="R7" s="23">
        <f>'損益計算｜詳細'!DO12</f>
        <v>4616.9363543549125</v>
      </c>
      <c r="S7" s="23"/>
      <c r="T7" s="23">
        <f>'損益計算｜詳細'!EB12</f>
        <v>4617.9464881762997</v>
      </c>
      <c r="U7" s="23"/>
      <c r="V7" s="23">
        <f>AVERAGE(B7,D7,F7,H7,J7,L7,N7,P7,R7,T7)</f>
        <v>4541.0862670101506</v>
      </c>
      <c r="W7" s="23"/>
    </row>
    <row r="8" spans="1:23" ht="19" customHeight="1">
      <c r="A8" s="24" t="s">
        <v>259</v>
      </c>
      <c r="B8" s="25"/>
      <c r="C8" s="25"/>
      <c r="D8" s="25"/>
      <c r="E8" s="25"/>
      <c r="F8" s="25"/>
      <c r="G8" s="25"/>
      <c r="H8" s="25"/>
      <c r="I8" s="25"/>
      <c r="J8" s="25"/>
      <c r="K8" s="25"/>
      <c r="L8" s="25"/>
      <c r="M8" s="25"/>
      <c r="N8" s="25"/>
      <c r="O8" s="25"/>
      <c r="P8" s="25"/>
      <c r="Q8" s="25"/>
      <c r="R8" s="25"/>
      <c r="S8" s="25"/>
      <c r="T8" s="25"/>
      <c r="U8" s="25"/>
      <c r="V8" s="25"/>
      <c r="W8" s="25"/>
    </row>
    <row r="9" spans="1:23" ht="19" customHeight="1">
      <c r="A9" s="57" t="s">
        <v>170</v>
      </c>
      <c r="B9" s="26">
        <f>('損益計算｜詳細'!O13)/1000</f>
        <v>33023.19686959486</v>
      </c>
      <c r="C9" s="39">
        <f>B9/$B$9</f>
        <v>1</v>
      </c>
      <c r="D9" s="26">
        <f>('損益計算｜詳細'!AB13)/1000</f>
        <v>62618.946208243156</v>
      </c>
      <c r="E9" s="39">
        <f>D9/$D$9</f>
        <v>1</v>
      </c>
      <c r="F9" s="26">
        <f>('損益計算｜詳細'!AO13)/1000</f>
        <v>71898.554207422509</v>
      </c>
      <c r="G9" s="39">
        <f>F9/$F$9</f>
        <v>1</v>
      </c>
      <c r="H9" s="26">
        <f>('損益計算｜詳細'!BB13)/1000</f>
        <v>72707.913865195849</v>
      </c>
      <c r="I9" s="39">
        <f>H9/$H$9</f>
        <v>1</v>
      </c>
      <c r="J9" s="26">
        <f>('損益計算｜詳細'!BO13)/1000</f>
        <v>74976.902690992298</v>
      </c>
      <c r="K9" s="39">
        <f>J9/$J$9</f>
        <v>1</v>
      </c>
      <c r="L9" s="26">
        <f>('損益計算｜詳細'!CB13)/1000</f>
        <v>76459.712714446709</v>
      </c>
      <c r="M9" s="39">
        <f>L9/$L$9</f>
        <v>1</v>
      </c>
      <c r="N9" s="26">
        <f>('損益計算｜詳細'!CO13)/1000</f>
        <v>77402.906560688483</v>
      </c>
      <c r="O9" s="39">
        <f>N9/$N$9</f>
        <v>1</v>
      </c>
      <c r="P9" s="26">
        <f>('損益計算｜詳細'!DB13)/1000</f>
        <v>78002.858420681892</v>
      </c>
      <c r="Q9" s="39">
        <f>P9/$P$9</f>
        <v>1</v>
      </c>
      <c r="R9" s="26">
        <f>('損益計算｜詳細'!DO13)/1000</f>
        <v>78384.479055447227</v>
      </c>
      <c r="S9" s="39">
        <f>R9/$R$9</f>
        <v>1</v>
      </c>
      <c r="T9" s="26">
        <f>('損益計算｜詳細'!EB13)/1000</f>
        <v>78627.222379687111</v>
      </c>
      <c r="U9" s="39">
        <f>T9/$T$9</f>
        <v>1</v>
      </c>
      <c r="V9" s="26">
        <f>SUM(B9,D9,F9,H9,J9,L9,N9,P9,R9,T9)</f>
        <v>704102.69297240023</v>
      </c>
      <c r="W9" s="39">
        <f>V9/$V$9</f>
        <v>1</v>
      </c>
    </row>
    <row r="10" spans="1:23" ht="19" customHeight="1">
      <c r="A10" s="24"/>
      <c r="B10" s="27"/>
      <c r="C10" s="27"/>
      <c r="D10" s="27"/>
      <c r="E10" s="27"/>
      <c r="F10" s="27"/>
      <c r="G10" s="27"/>
      <c r="H10" s="27"/>
      <c r="I10" s="27"/>
      <c r="J10" s="27"/>
      <c r="K10" s="27"/>
      <c r="L10" s="27"/>
      <c r="M10" s="27"/>
      <c r="N10" s="27"/>
      <c r="O10" s="27"/>
      <c r="P10" s="27"/>
      <c r="Q10" s="27"/>
      <c r="R10" s="27"/>
      <c r="S10" s="27"/>
      <c r="T10" s="27"/>
      <c r="U10" s="27"/>
      <c r="V10" s="21"/>
      <c r="W10" s="27"/>
    </row>
    <row r="11" spans="1:23" ht="19" customHeight="1">
      <c r="A11" s="57" t="s">
        <v>219</v>
      </c>
      <c r="B11" s="26">
        <f>'損益計算｜詳細'!O24/1000</f>
        <v>1036.72</v>
      </c>
      <c r="C11" s="39">
        <f>B11/$B$9</f>
        <v>3.139368983850651E-2</v>
      </c>
      <c r="D11" s="26">
        <f>'損益計算｜詳細'!AB24/1000</f>
        <v>2350.64</v>
      </c>
      <c r="E11" s="39">
        <f>D11/$D$9</f>
        <v>3.7538798436224111E-2</v>
      </c>
      <c r="F11" s="26">
        <f>'損益計算｜詳細'!AO24/1000</f>
        <v>2339.12</v>
      </c>
      <c r="G11" s="39">
        <f>F11/$F$9</f>
        <v>3.2533616646195633E-2</v>
      </c>
      <c r="H11" s="26">
        <f>'損益計算｜詳細'!BB24/1000</f>
        <v>2340.2399999999998</v>
      </c>
      <c r="I11" s="39">
        <f>H11/$H$9</f>
        <v>3.2186867640555929E-2</v>
      </c>
      <c r="J11" s="26">
        <f>'損益計算｜詳細'!BO24/1000</f>
        <v>2340.2399999999998</v>
      </c>
      <c r="K11" s="39">
        <f>J11/$J$9</f>
        <v>3.1212812426314799E-2</v>
      </c>
      <c r="L11" s="26">
        <f>'損益計算｜詳細'!CB24/1000</f>
        <v>2340.2399999999998</v>
      </c>
      <c r="M11" s="39">
        <f>L11/$L$9</f>
        <v>3.0607491408450222E-2</v>
      </c>
      <c r="N11" s="26">
        <f>'損益計算｜詳細'!CO24/1000</f>
        <v>2340.2399999999998</v>
      </c>
      <c r="O11" s="39">
        <f>N11/$N$9</f>
        <v>3.0234523533881928E-2</v>
      </c>
      <c r="P11" s="26">
        <f>'損益計算｜詳細'!DB24/1000</f>
        <v>2340.2399999999998</v>
      </c>
      <c r="Q11" s="39">
        <f>P11/$P$9</f>
        <v>3.0001977458040206E-2</v>
      </c>
      <c r="R11" s="26">
        <f>'損益計算｜詳細'!DO24/1000</f>
        <v>2340.2399999999998</v>
      </c>
      <c r="S11" s="39">
        <f>R11/$R$9</f>
        <v>2.9855910611392495E-2</v>
      </c>
      <c r="T11" s="26">
        <f>'損益計算｜詳細'!EB24/1000</f>
        <v>2340.2399999999998</v>
      </c>
      <c r="U11" s="39">
        <f>T11/$T$9</f>
        <v>2.9763737407625723E-2</v>
      </c>
      <c r="V11" s="26">
        <f>SUM(B11,D11,F11,H11,J11,L11,N11,P11,R11,T11)</f>
        <v>22108.159999999996</v>
      </c>
      <c r="W11" s="39">
        <f>V11/$V$9</f>
        <v>3.1399056161352593E-2</v>
      </c>
    </row>
    <row r="12" spans="1:23" ht="19" customHeight="1">
      <c r="A12" s="24"/>
      <c r="B12" s="27"/>
      <c r="C12" s="27"/>
      <c r="D12" s="27"/>
      <c r="E12" s="27"/>
      <c r="F12" s="27"/>
      <c r="G12" s="27"/>
      <c r="H12" s="27"/>
      <c r="I12" s="27"/>
      <c r="J12" s="27"/>
      <c r="K12" s="27"/>
      <c r="L12" s="27"/>
      <c r="M12" s="27"/>
      <c r="N12" s="27"/>
      <c r="O12" s="27"/>
      <c r="P12" s="27"/>
      <c r="Q12" s="27"/>
      <c r="R12" s="27"/>
      <c r="S12" s="27"/>
      <c r="T12" s="27"/>
      <c r="U12" s="27"/>
      <c r="V12" s="21"/>
      <c r="W12" s="27"/>
    </row>
    <row r="13" spans="1:23" ht="19" customHeight="1">
      <c r="A13" s="56" t="s">
        <v>137</v>
      </c>
      <c r="B13" s="21">
        <f>B9-B11</f>
        <v>31986.476869594859</v>
      </c>
      <c r="C13" s="28">
        <f>B13/B9</f>
        <v>0.96860631016149346</v>
      </c>
      <c r="D13" s="21">
        <f>D9-D11</f>
        <v>60268.306208243157</v>
      </c>
      <c r="E13" s="28">
        <f>D13/D9</f>
        <v>0.9624612015637759</v>
      </c>
      <c r="F13" s="21">
        <f>F9-F11</f>
        <v>69559.434207422513</v>
      </c>
      <c r="G13" s="28">
        <f>F13/F9</f>
        <v>0.96746638335380442</v>
      </c>
      <c r="H13" s="21">
        <f>H9-H11</f>
        <v>70367.673865195844</v>
      </c>
      <c r="I13" s="28">
        <f>H13/H9</f>
        <v>0.96781313235944399</v>
      </c>
      <c r="J13" s="21">
        <f>J9-J11</f>
        <v>72636.662690992292</v>
      </c>
      <c r="K13" s="28">
        <f>J13/J9</f>
        <v>0.96878718757368509</v>
      </c>
      <c r="L13" s="21">
        <f>L9-L11</f>
        <v>74119.472714446703</v>
      </c>
      <c r="M13" s="28">
        <f>L13/L9</f>
        <v>0.96939250859154968</v>
      </c>
      <c r="N13" s="21">
        <f>N9-N11</f>
        <v>75062.666560688478</v>
      </c>
      <c r="O13" s="28">
        <f>N13/N9</f>
        <v>0.96976547646611799</v>
      </c>
      <c r="P13" s="21">
        <f>P9-P11</f>
        <v>75662.618420681887</v>
      </c>
      <c r="Q13" s="28">
        <f>P13/P9</f>
        <v>0.96999802254195977</v>
      </c>
      <c r="R13" s="21">
        <f>R9-R11</f>
        <v>76044.239055447222</v>
      </c>
      <c r="S13" s="28">
        <f>R13/R9</f>
        <v>0.97014408938860741</v>
      </c>
      <c r="T13" s="21">
        <f>T9-T11</f>
        <v>76286.982379687106</v>
      </c>
      <c r="U13" s="28">
        <f>T13/T9</f>
        <v>0.97023626259237417</v>
      </c>
      <c r="V13" s="21">
        <f>V9-V11</f>
        <v>681994.53297240019</v>
      </c>
      <c r="W13" s="28">
        <f>V13/V9</f>
        <v>0.96860094383864737</v>
      </c>
    </row>
    <row r="14" spans="1:23" ht="19" customHeight="1">
      <c r="A14" s="29"/>
      <c r="B14" s="30"/>
      <c r="C14" s="30"/>
      <c r="D14" s="30"/>
      <c r="E14" s="30"/>
      <c r="F14" s="30"/>
      <c r="G14" s="30"/>
      <c r="H14" s="30"/>
      <c r="I14" s="30"/>
      <c r="J14" s="30"/>
      <c r="K14" s="30"/>
      <c r="L14" s="30"/>
      <c r="M14" s="30"/>
      <c r="N14" s="30"/>
      <c r="O14" s="30"/>
      <c r="P14" s="30"/>
      <c r="Q14" s="30"/>
      <c r="R14" s="30"/>
      <c r="S14" s="30"/>
      <c r="T14" s="30"/>
      <c r="U14" s="30"/>
      <c r="V14" s="31"/>
      <c r="W14" s="30"/>
    </row>
    <row r="15" spans="1:23" ht="19" customHeight="1">
      <c r="A15" s="56" t="s">
        <v>40</v>
      </c>
      <c r="B15" s="21">
        <f>SUM(B16:B27)</f>
        <v>33699.678064351385</v>
      </c>
      <c r="C15" s="28">
        <f>B15/$B$15</f>
        <v>1</v>
      </c>
      <c r="D15" s="21">
        <f>SUM(D16:D27)</f>
        <v>37503.635704989181</v>
      </c>
      <c r="E15" s="28">
        <f t="shared" ref="E15:E26" si="0">D15/$D$15</f>
        <v>1</v>
      </c>
      <c r="F15" s="21">
        <f>SUM(F16:F27)</f>
        <v>36407.409604890701</v>
      </c>
      <c r="G15" s="28">
        <f t="shared" ref="G15:G26" si="1">F15/$F$15</f>
        <v>1</v>
      </c>
      <c r="H15" s="21">
        <f>SUM(H16:H27)</f>
        <v>36204.264750823502</v>
      </c>
      <c r="I15" s="28">
        <f t="shared" ref="I15:I26" si="2">H15/$H$15</f>
        <v>1</v>
      </c>
      <c r="J15" s="21">
        <f>SUM(J16:J27)</f>
        <v>36686.261996269073</v>
      </c>
      <c r="K15" s="28">
        <f t="shared" ref="K15:K26" si="3">J15/$J$15</f>
        <v>1</v>
      </c>
      <c r="L15" s="21">
        <f>SUM(L16:L27)</f>
        <v>31468.403714751104</v>
      </c>
      <c r="M15" s="28">
        <f>L15/$L$15</f>
        <v>1</v>
      </c>
      <c r="N15" s="21">
        <f>SUM(N16:N27)</f>
        <v>30689.601717750997</v>
      </c>
      <c r="O15" s="28">
        <f>N15/$N$15</f>
        <v>1</v>
      </c>
      <c r="P15" s="21">
        <f>SUM(P16:P27)</f>
        <v>31004.371419473617</v>
      </c>
      <c r="Q15" s="28">
        <f>P15/$P$15</f>
        <v>1</v>
      </c>
      <c r="R15" s="21">
        <f>SUM(R16:R27)</f>
        <v>31305.08014809505</v>
      </c>
      <c r="S15" s="28">
        <f>R15/$R$15</f>
        <v>1</v>
      </c>
      <c r="T15" s="21">
        <f>SUM(T16:T27)</f>
        <v>31601.869312075902</v>
      </c>
      <c r="U15" s="28">
        <f>T15/$T$15</f>
        <v>1</v>
      </c>
      <c r="V15" s="21">
        <f>SUM(V16:V27)</f>
        <v>336570.57643347053</v>
      </c>
      <c r="W15" s="28">
        <f>V15/$V$15</f>
        <v>1</v>
      </c>
    </row>
    <row r="16" spans="1:23" ht="19" customHeight="1">
      <c r="A16" s="22" t="s">
        <v>179</v>
      </c>
      <c r="B16" s="32">
        <f>('損益計算｜詳細'!O30)/1000</f>
        <v>7541.97444</v>
      </c>
      <c r="C16" s="33">
        <f t="shared" ref="C16:C26" si="4">B16/$B$15</f>
        <v>0.22379959908216884</v>
      </c>
      <c r="D16" s="32">
        <f>('損益計算｜詳細'!AB30)/1000</f>
        <v>8800.5621599999995</v>
      </c>
      <c r="E16" s="33">
        <f t="shared" si="0"/>
        <v>0.23465890691843627</v>
      </c>
      <c r="F16" s="32">
        <f>('損益計算｜詳細'!AO30)/1000</f>
        <v>8990.7830999999987</v>
      </c>
      <c r="G16" s="33">
        <f t="shared" si="1"/>
        <v>0.24694926657985147</v>
      </c>
      <c r="H16" s="32">
        <f>('損益計算｜詳細'!BB30)/1000</f>
        <v>9190.5150869999998</v>
      </c>
      <c r="I16" s="33">
        <f t="shared" si="2"/>
        <v>0.25385172576363263</v>
      </c>
      <c r="J16" s="32">
        <f>('損益計算｜詳細'!BO30)/1000</f>
        <v>9400.2336733499997</v>
      </c>
      <c r="K16" s="33">
        <f t="shared" si="3"/>
        <v>0.25623307368589326</v>
      </c>
      <c r="L16" s="32">
        <f>('損益計算｜詳細'!CB30)/1000</f>
        <v>9620.4381890175009</v>
      </c>
      <c r="M16" s="33">
        <f t="shared" ref="M16:M26" si="5">L16/$L$15</f>
        <v>0.30571738802587661</v>
      </c>
      <c r="N16" s="32">
        <f>('損益計算｜詳細'!CO30)/1000</f>
        <v>9851.6529304683772</v>
      </c>
      <c r="O16" s="33">
        <f t="shared" ref="O16:O26" si="6">N16/$N$15</f>
        <v>0.32100947484014231</v>
      </c>
      <c r="P16" s="32">
        <f>('損益計算｜詳細'!DB30)/1000</f>
        <v>10094.428408991791</v>
      </c>
      <c r="Q16" s="33">
        <f t="shared" ref="Q16:Q26" si="7">P16/$P$15</f>
        <v>0.32558081157070501</v>
      </c>
      <c r="R16" s="32">
        <f>('損益計算｜詳細'!DO30)/1000</f>
        <v>10349.342661441384</v>
      </c>
      <c r="S16" s="33">
        <f t="shared" ref="S16:S26" si="8">R16/$R$15</f>
        <v>0.33059626784156798</v>
      </c>
      <c r="T16" s="32">
        <f>('損益計算｜詳細'!EB30)/1000</f>
        <v>10617.002626513451</v>
      </c>
      <c r="U16" s="33">
        <f t="shared" ref="U16:U26" si="9">T16/$T$15</f>
        <v>0.33596122184001365</v>
      </c>
      <c r="V16" s="34">
        <f>SUM(B16,D16,F16,H16,J16,L16,N16,P16,R16,T16)</f>
        <v>94456.933276782511</v>
      </c>
      <c r="W16" s="33">
        <f t="shared" ref="W16:W26" si="10">V16/$V$15</f>
        <v>0.28064524914124123</v>
      </c>
    </row>
    <row r="17" spans="1:23" ht="19" customHeight="1">
      <c r="A17" s="35" t="s">
        <v>180</v>
      </c>
      <c r="B17" s="36">
        <f>('損益計算｜詳細'!O36)/1000</f>
        <v>7200</v>
      </c>
      <c r="C17" s="37">
        <f t="shared" si="4"/>
        <v>0.21365189264571621</v>
      </c>
      <c r="D17" s="36">
        <f>('損益計算｜詳細'!AB36)/1000</f>
        <v>4000</v>
      </c>
      <c r="E17" s="37">
        <f t="shared" si="0"/>
        <v>0.10665632610834774</v>
      </c>
      <c r="F17" s="36">
        <f>('損益計算｜詳細'!AO36)/1000</f>
        <v>1600</v>
      </c>
      <c r="G17" s="37">
        <f t="shared" si="1"/>
        <v>4.3947098059540821E-2</v>
      </c>
      <c r="H17" s="36">
        <f>('損益計算｜詳細'!BB36)/1000</f>
        <v>1100</v>
      </c>
      <c r="I17" s="37">
        <f t="shared" si="2"/>
        <v>3.0383160867117995E-2</v>
      </c>
      <c r="J17" s="36">
        <f>('損益計算｜詳細'!BO36)/1000</f>
        <v>1100</v>
      </c>
      <c r="K17" s="37">
        <f t="shared" si="3"/>
        <v>2.9983976021102067E-2</v>
      </c>
      <c r="L17" s="36">
        <f>('損益計算｜詳細'!CB36)/1000</f>
        <v>1100</v>
      </c>
      <c r="M17" s="37">
        <f t="shared" si="5"/>
        <v>3.4955697466292672E-2</v>
      </c>
      <c r="N17" s="36">
        <f>('損益計算｜詳細'!CO36)/1000</f>
        <v>1100</v>
      </c>
      <c r="O17" s="37">
        <f t="shared" si="6"/>
        <v>3.5842759059455477E-2</v>
      </c>
      <c r="P17" s="36">
        <f>('損益計算｜詳細'!DB36)/1000</f>
        <v>1100</v>
      </c>
      <c r="Q17" s="37">
        <f t="shared" si="7"/>
        <v>3.5478867967279545E-2</v>
      </c>
      <c r="R17" s="36">
        <f>('損益計算｜詳細'!DO36)/1000</f>
        <v>1100</v>
      </c>
      <c r="S17" s="37">
        <f t="shared" si="8"/>
        <v>3.5138066882315147E-2</v>
      </c>
      <c r="T17" s="36">
        <f>('損益計算｜詳細'!EB36)/1000</f>
        <v>1100</v>
      </c>
      <c r="U17" s="37">
        <f t="shared" si="9"/>
        <v>3.4808067495540877E-2</v>
      </c>
      <c r="V17" s="38">
        <f>SUM(B17,D17,F17,H17,J17,L17,N17,P17,R17,T17)</f>
        <v>20500</v>
      </c>
      <c r="W17" s="37">
        <f t="shared" si="10"/>
        <v>6.0908473394293304E-2</v>
      </c>
    </row>
    <row r="18" spans="1:23" ht="19" customHeight="1">
      <c r="A18" s="35" t="s">
        <v>181</v>
      </c>
      <c r="B18" s="36">
        <f>('損益計算｜詳細'!O41)/1000</f>
        <v>5280</v>
      </c>
      <c r="C18" s="37">
        <f t="shared" si="4"/>
        <v>0.15667805460685857</v>
      </c>
      <c r="D18" s="36">
        <f>('損益計算｜詳細'!AB41)/1000</f>
        <v>5760</v>
      </c>
      <c r="E18" s="37">
        <f t="shared" si="0"/>
        <v>0.15358510959602073</v>
      </c>
      <c r="F18" s="36">
        <f>('損益計算｜詳細'!AO41)/1000</f>
        <v>5760</v>
      </c>
      <c r="G18" s="37">
        <f t="shared" si="1"/>
        <v>0.15820955301434694</v>
      </c>
      <c r="H18" s="36">
        <f>('損益計算｜詳細'!BB41)/1000</f>
        <v>5760</v>
      </c>
      <c r="I18" s="37">
        <f t="shared" si="2"/>
        <v>0.15909727872236332</v>
      </c>
      <c r="J18" s="36">
        <f>('損益計算｜詳細'!BO41)/1000</f>
        <v>5760</v>
      </c>
      <c r="K18" s="37">
        <f t="shared" si="3"/>
        <v>0.15700700171049811</v>
      </c>
      <c r="L18" s="36">
        <f>('損益計算｜詳細'!CB41)/1000</f>
        <v>5760</v>
      </c>
      <c r="M18" s="37">
        <f t="shared" si="5"/>
        <v>0.18304074309622342</v>
      </c>
      <c r="N18" s="36">
        <f>('損益計算｜詳細'!CO41)/1000</f>
        <v>5760</v>
      </c>
      <c r="O18" s="37">
        <f t="shared" si="6"/>
        <v>0.18768572016587598</v>
      </c>
      <c r="P18" s="36">
        <f>('損益計算｜詳細'!DB41)/1000</f>
        <v>5760</v>
      </c>
      <c r="Q18" s="37">
        <f t="shared" si="7"/>
        <v>0.18578025408320925</v>
      </c>
      <c r="R18" s="36">
        <f>('損益計算｜詳細'!DO41)/1000</f>
        <v>5760</v>
      </c>
      <c r="S18" s="37">
        <f>R18/$R$15</f>
        <v>0.18399569567466839</v>
      </c>
      <c r="T18" s="36">
        <f>('損益計算｜詳細'!EB41)/1000</f>
        <v>5760</v>
      </c>
      <c r="U18" s="37">
        <f t="shared" si="9"/>
        <v>0.18226769888574132</v>
      </c>
      <c r="V18" s="38">
        <f>SUM(B18,D18,F18,H18,J18,L18,N18,P18,R18,T18)</f>
        <v>57120</v>
      </c>
      <c r="W18" s="37">
        <f t="shared" si="10"/>
        <v>0.16971180489180651</v>
      </c>
    </row>
    <row r="19" spans="1:23" ht="19" customHeight="1">
      <c r="A19" s="35" t="s">
        <v>266</v>
      </c>
      <c r="B19" s="36">
        <f>'損益計算｜詳細'!O42/1000</f>
        <v>0</v>
      </c>
      <c r="C19" s="37">
        <f t="shared" si="4"/>
        <v>0</v>
      </c>
      <c r="D19" s="36">
        <f>'損益計算｜詳細'!AB42/1000</f>
        <v>0</v>
      </c>
      <c r="E19" s="37">
        <f t="shared" si="0"/>
        <v>0</v>
      </c>
      <c r="F19" s="36">
        <f>'損益計算｜詳細'!AO42/1000</f>
        <v>0</v>
      </c>
      <c r="G19" s="37">
        <f t="shared" si="1"/>
        <v>0</v>
      </c>
      <c r="H19" s="36">
        <f>'損益計算｜詳細'!BB42/1000</f>
        <v>0</v>
      </c>
      <c r="I19" s="37">
        <f t="shared" si="2"/>
        <v>0</v>
      </c>
      <c r="J19" s="36">
        <f>'損益計算｜詳細'!BO42/1000</f>
        <v>0</v>
      </c>
      <c r="K19" s="37">
        <f t="shared" si="3"/>
        <v>0</v>
      </c>
      <c r="L19" s="36">
        <f>'損益計算｜詳細'!CB42/1000</f>
        <v>0</v>
      </c>
      <c r="M19" s="37">
        <f t="shared" si="5"/>
        <v>0</v>
      </c>
      <c r="N19" s="36">
        <f>'損益計算｜詳細'!CO42/1000</f>
        <v>0</v>
      </c>
      <c r="O19" s="37">
        <f t="shared" si="6"/>
        <v>0</v>
      </c>
      <c r="P19" s="36">
        <f>'損益計算｜詳細'!DB42/1000</f>
        <v>0</v>
      </c>
      <c r="Q19" s="37">
        <f t="shared" si="7"/>
        <v>0</v>
      </c>
      <c r="R19" s="36">
        <f>'損益計算｜詳細'!DO42/1000</f>
        <v>0</v>
      </c>
      <c r="S19" s="37">
        <f>R19/$R$15</f>
        <v>0</v>
      </c>
      <c r="T19" s="36">
        <f>'損益計算｜詳細'!EB42/1000</f>
        <v>0</v>
      </c>
      <c r="U19" s="37">
        <f t="shared" si="9"/>
        <v>0</v>
      </c>
      <c r="V19" s="38">
        <f>SUM(B19,D19,F19,H19,J19,L19,N19,P19,R19,T19)</f>
        <v>0</v>
      </c>
      <c r="W19" s="37">
        <f t="shared" si="10"/>
        <v>0</v>
      </c>
    </row>
    <row r="20" spans="1:23" ht="19" customHeight="1">
      <c r="A20" s="35" t="s">
        <v>182</v>
      </c>
      <c r="B20" s="36">
        <f>('損益計算｜詳細'!O43)/1000</f>
        <v>1545</v>
      </c>
      <c r="C20" s="37">
        <f t="shared" si="4"/>
        <v>4.584613529689327E-2</v>
      </c>
      <c r="D20" s="36">
        <f>('損益計算｜詳細'!AB43)/1000</f>
        <v>1800</v>
      </c>
      <c r="E20" s="37">
        <f t="shared" si="0"/>
        <v>4.7995346748756482E-2</v>
      </c>
      <c r="F20" s="36">
        <f>('損益計算｜詳細'!AO43)/1000</f>
        <v>1800</v>
      </c>
      <c r="G20" s="37">
        <f t="shared" si="1"/>
        <v>4.9440485316983425E-2</v>
      </c>
      <c r="H20" s="36">
        <f>('損益計算｜詳細'!BB43)/1000</f>
        <v>1800</v>
      </c>
      <c r="I20" s="37">
        <f t="shared" si="2"/>
        <v>4.9717899600738531E-2</v>
      </c>
      <c r="J20" s="36">
        <f>('損益計算｜詳細'!BO43)/1000</f>
        <v>1800</v>
      </c>
      <c r="K20" s="37">
        <f t="shared" si="3"/>
        <v>4.9064688034530658E-2</v>
      </c>
      <c r="L20" s="36">
        <f>('損益計算｜詳細'!CB43)/1000</f>
        <v>1800</v>
      </c>
      <c r="M20" s="37">
        <f t="shared" si="5"/>
        <v>5.720023221756982E-2</v>
      </c>
      <c r="N20" s="36">
        <f>('損益計算｜詳細'!CO43)/1000</f>
        <v>1800</v>
      </c>
      <c r="O20" s="37">
        <f t="shared" si="6"/>
        <v>5.865178755183624E-2</v>
      </c>
      <c r="P20" s="36">
        <f>('損益計算｜詳細'!DB43)/1000</f>
        <v>1800</v>
      </c>
      <c r="Q20" s="37">
        <f t="shared" si="7"/>
        <v>5.8056329401002894E-2</v>
      </c>
      <c r="R20" s="36">
        <f>('損益計算｜詳細'!DO43)/1000</f>
        <v>1800</v>
      </c>
      <c r="S20" s="37">
        <f t="shared" si="8"/>
        <v>5.7498654898333876E-2</v>
      </c>
      <c r="T20" s="36">
        <f>('損益計算｜詳細'!EB43)/1000</f>
        <v>1800</v>
      </c>
      <c r="U20" s="37">
        <f t="shared" si="9"/>
        <v>5.6958655901794164E-2</v>
      </c>
      <c r="V20" s="38">
        <f t="shared" ref="V20:V25" si="11">SUM(B20,D20,F20,H20,J20,L20,N20,P20,R20,T20)</f>
        <v>17745</v>
      </c>
      <c r="W20" s="37">
        <f t="shared" si="10"/>
        <v>5.272296879910901E-2</v>
      </c>
    </row>
    <row r="21" spans="1:23" ht="19" customHeight="1">
      <c r="A21" s="35" t="s">
        <v>183</v>
      </c>
      <c r="B21" s="36">
        <f>('損益計算｜詳細'!O44)/1000</f>
        <v>700</v>
      </c>
      <c r="C21" s="37">
        <f t="shared" si="4"/>
        <v>2.0771711785000188E-2</v>
      </c>
      <c r="D21" s="36">
        <f>('損益計算｜詳細'!AB44)/1000</f>
        <v>840</v>
      </c>
      <c r="E21" s="37">
        <f t="shared" si="0"/>
        <v>2.2397828482753023E-2</v>
      </c>
      <c r="F21" s="36">
        <f>('損益計算｜詳細'!AO44)/1000</f>
        <v>840</v>
      </c>
      <c r="G21" s="37">
        <f t="shared" si="1"/>
        <v>2.307222648125893E-2</v>
      </c>
      <c r="H21" s="36">
        <f>('損益計算｜詳細'!BB44)/1000</f>
        <v>840</v>
      </c>
      <c r="I21" s="37">
        <f t="shared" si="2"/>
        <v>2.3201686480344649E-2</v>
      </c>
      <c r="J21" s="36">
        <f>('損益計算｜詳細'!BO44)/1000</f>
        <v>840</v>
      </c>
      <c r="K21" s="37">
        <f t="shared" si="3"/>
        <v>2.2896854416114307E-2</v>
      </c>
      <c r="L21" s="36">
        <f>('損益計算｜詳細'!CB44)/1000</f>
        <v>840</v>
      </c>
      <c r="M21" s="37">
        <f t="shared" si="5"/>
        <v>2.6693441701532584E-2</v>
      </c>
      <c r="N21" s="36">
        <f>('損益計算｜詳細'!CO44)/1000</f>
        <v>840</v>
      </c>
      <c r="O21" s="37">
        <f t="shared" si="6"/>
        <v>2.7370834190856914E-2</v>
      </c>
      <c r="P21" s="36">
        <f>('損益計算｜詳細'!DB44)/1000</f>
        <v>840</v>
      </c>
      <c r="Q21" s="37">
        <f t="shared" si="7"/>
        <v>2.7092953720468018E-2</v>
      </c>
      <c r="R21" s="36">
        <f>('損益計算｜詳細'!DO44)/1000</f>
        <v>840</v>
      </c>
      <c r="S21" s="37">
        <f t="shared" si="8"/>
        <v>2.6832705619222474E-2</v>
      </c>
      <c r="T21" s="36">
        <f>('損益計算｜詳細'!EB44)/1000</f>
        <v>840</v>
      </c>
      <c r="U21" s="37">
        <f t="shared" si="9"/>
        <v>2.6580706087503944E-2</v>
      </c>
      <c r="V21" s="38">
        <f t="shared" si="11"/>
        <v>8260</v>
      </c>
      <c r="W21" s="37">
        <f t="shared" si="10"/>
        <v>2.4541658060334766E-2</v>
      </c>
    </row>
    <row r="22" spans="1:23" ht="19" customHeight="1">
      <c r="A22" s="35" t="s">
        <v>184</v>
      </c>
      <c r="B22" s="36">
        <f>('損益計算｜詳細'!O45)/1000</f>
        <v>640</v>
      </c>
      <c r="C22" s="37">
        <f t="shared" si="4"/>
        <v>1.8991279346285885E-2</v>
      </c>
      <c r="D22" s="36">
        <f>('損益計算｜詳細'!AB45)/1000</f>
        <v>768</v>
      </c>
      <c r="E22" s="37">
        <f t="shared" si="0"/>
        <v>2.0478014612802766E-2</v>
      </c>
      <c r="F22" s="36">
        <f>('損益計算｜詳細'!AO45)/1000</f>
        <v>768</v>
      </c>
      <c r="G22" s="37">
        <f t="shared" si="1"/>
        <v>2.1094607068579595E-2</v>
      </c>
      <c r="H22" s="36">
        <f>('損益計算｜詳細'!BB45)/1000</f>
        <v>768</v>
      </c>
      <c r="I22" s="37">
        <f t="shared" si="2"/>
        <v>2.1212970496315108E-2</v>
      </c>
      <c r="J22" s="36">
        <f>('損益計算｜詳細'!BO45)/1000</f>
        <v>768</v>
      </c>
      <c r="K22" s="37">
        <f t="shared" si="3"/>
        <v>2.0934266894733079E-2</v>
      </c>
      <c r="L22" s="36">
        <f>('損益計算｜詳細'!CB45)/1000</f>
        <v>768</v>
      </c>
      <c r="M22" s="37">
        <f t="shared" si="5"/>
        <v>2.4405432412829792E-2</v>
      </c>
      <c r="N22" s="36">
        <f>('損益計算｜詳細'!CO45)/1000</f>
        <v>768</v>
      </c>
      <c r="O22" s="37">
        <f t="shared" si="6"/>
        <v>2.5024762688783463E-2</v>
      </c>
      <c r="P22" s="36">
        <f>('損益計算｜詳細'!DB45)/1000</f>
        <v>768</v>
      </c>
      <c r="Q22" s="37">
        <f t="shared" si="7"/>
        <v>2.4770700544427902E-2</v>
      </c>
      <c r="R22" s="36">
        <f>('損益計算｜詳細'!DO45)/1000</f>
        <v>768</v>
      </c>
      <c r="S22" s="37">
        <f t="shared" si="8"/>
        <v>2.453275942328912E-2</v>
      </c>
      <c r="T22" s="36">
        <f>('損益計算｜詳細'!EB45)/1000</f>
        <v>768</v>
      </c>
      <c r="U22" s="37">
        <f t="shared" si="9"/>
        <v>2.4302359851432177E-2</v>
      </c>
      <c r="V22" s="38">
        <f t="shared" si="11"/>
        <v>7552</v>
      </c>
      <c r="W22" s="37">
        <f t="shared" si="10"/>
        <v>2.2438087369448929E-2</v>
      </c>
    </row>
    <row r="23" spans="1:23" ht="19" customHeight="1">
      <c r="A23" s="35" t="s">
        <v>185</v>
      </c>
      <c r="B23" s="36">
        <f>('損益計算｜詳細'!O48)/1000</f>
        <v>500</v>
      </c>
      <c r="C23" s="37">
        <f t="shared" si="4"/>
        <v>1.483693698928585E-2</v>
      </c>
      <c r="D23" s="36">
        <f>('損益計算｜詳細'!AB48)/1000</f>
        <v>600</v>
      </c>
      <c r="E23" s="37">
        <f t="shared" si="0"/>
        <v>1.5998448916252159E-2</v>
      </c>
      <c r="F23" s="36">
        <f>('損益計算｜詳細'!AO48)/1000</f>
        <v>600</v>
      </c>
      <c r="G23" s="37">
        <f t="shared" si="1"/>
        <v>1.6480161772327809E-2</v>
      </c>
      <c r="H23" s="36">
        <f>('損益計算｜詳細'!BB48)/1000</f>
        <v>600</v>
      </c>
      <c r="I23" s="37">
        <f t="shared" si="2"/>
        <v>1.6572633200246177E-2</v>
      </c>
      <c r="J23" s="36">
        <f>('損益計算｜詳細'!BO48)/1000</f>
        <v>600</v>
      </c>
      <c r="K23" s="37">
        <f t="shared" si="3"/>
        <v>1.6354896011510221E-2</v>
      </c>
      <c r="L23" s="36">
        <f>('損益計算｜詳細'!CB48)/1000</f>
        <v>600</v>
      </c>
      <c r="M23" s="37">
        <f t="shared" si="5"/>
        <v>1.9066744072523276E-2</v>
      </c>
      <c r="N23" s="36">
        <f>('損益計算｜詳細'!CO48)/1000</f>
        <v>600</v>
      </c>
      <c r="O23" s="37">
        <f t="shared" si="6"/>
        <v>1.9550595850612081E-2</v>
      </c>
      <c r="P23" s="36">
        <f>('損益計算｜詳細'!DB48)/1000</f>
        <v>600</v>
      </c>
      <c r="Q23" s="37">
        <f t="shared" si="7"/>
        <v>1.9352109800334298E-2</v>
      </c>
      <c r="R23" s="36">
        <f>('損益計算｜詳細'!DO48)/1000</f>
        <v>600</v>
      </c>
      <c r="S23" s="37">
        <f t="shared" si="8"/>
        <v>1.9166218299444624E-2</v>
      </c>
      <c r="T23" s="36">
        <f>('損益計算｜詳細'!EB48)/1000</f>
        <v>600</v>
      </c>
      <c r="U23" s="37">
        <f t="shared" si="9"/>
        <v>1.8986218633931389E-2</v>
      </c>
      <c r="V23" s="38">
        <f t="shared" si="11"/>
        <v>5900</v>
      </c>
      <c r="W23" s="37">
        <f t="shared" si="10"/>
        <v>1.7529755757381974E-2</v>
      </c>
    </row>
    <row r="24" spans="1:23" ht="19" customHeight="1">
      <c r="A24" s="35" t="s">
        <v>186</v>
      </c>
      <c r="B24" s="36">
        <f>('損益計算｜詳細'!O49)/1000</f>
        <v>200</v>
      </c>
      <c r="C24" s="37">
        <f t="shared" si="4"/>
        <v>5.9347747957143393E-3</v>
      </c>
      <c r="D24" s="36">
        <f>('損益計算｜詳細'!AB49)/1000</f>
        <v>240</v>
      </c>
      <c r="E24" s="37">
        <f t="shared" si="0"/>
        <v>6.3993795665008646E-3</v>
      </c>
      <c r="F24" s="36">
        <f>('損益計算｜詳細'!AO49)/1000</f>
        <v>240</v>
      </c>
      <c r="G24" s="37">
        <f t="shared" si="1"/>
        <v>6.5920647089311229E-3</v>
      </c>
      <c r="H24" s="36">
        <f>('損益計算｜詳細'!BB49)/1000</f>
        <v>240</v>
      </c>
      <c r="I24" s="37">
        <f t="shared" si="2"/>
        <v>6.6290532800984715E-3</v>
      </c>
      <c r="J24" s="36">
        <f>('損益計算｜詳細'!BO49)/1000</f>
        <v>240</v>
      </c>
      <c r="K24" s="37">
        <f t="shared" si="3"/>
        <v>6.5419584046040877E-3</v>
      </c>
      <c r="L24" s="36">
        <f>('損益計算｜詳細'!CB49)/1000</f>
        <v>240</v>
      </c>
      <c r="M24" s="37">
        <f t="shared" si="5"/>
        <v>7.6266976290093099E-3</v>
      </c>
      <c r="N24" s="36">
        <f>('損益計算｜詳細'!CO49)/1000</f>
        <v>240</v>
      </c>
      <c r="O24" s="37">
        <f t="shared" si="6"/>
        <v>7.8202383402448325E-3</v>
      </c>
      <c r="P24" s="36">
        <f>('損益計算｜詳細'!DB49)/1000</f>
        <v>240</v>
      </c>
      <c r="Q24" s="37">
        <f t="shared" si="7"/>
        <v>7.7408439201337191E-3</v>
      </c>
      <c r="R24" s="36">
        <f>('損益計算｜詳細'!DO49)/1000</f>
        <v>240</v>
      </c>
      <c r="S24" s="37">
        <f t="shared" si="8"/>
        <v>7.6664873197778496E-3</v>
      </c>
      <c r="T24" s="36">
        <f>('損益計算｜詳細'!EB49)/1000</f>
        <v>240</v>
      </c>
      <c r="U24" s="37">
        <f t="shared" si="9"/>
        <v>7.5944874535725558E-3</v>
      </c>
      <c r="V24" s="38">
        <f t="shared" si="11"/>
        <v>2360</v>
      </c>
      <c r="W24" s="37">
        <f t="shared" si="10"/>
        <v>7.01190230295279E-3</v>
      </c>
    </row>
    <row r="25" spans="1:23" ht="19" customHeight="1">
      <c r="A25" s="35" t="s">
        <v>187</v>
      </c>
      <c r="B25" s="36">
        <f>('損益計算｜詳細'!O50)/1000</f>
        <v>1320.9278747837943</v>
      </c>
      <c r="C25" s="37">
        <f t="shared" si="4"/>
        <v>3.9197047291116852E-2</v>
      </c>
      <c r="D25" s="36">
        <f>('損益計算｜詳細'!AB50)/1000</f>
        <v>2504.7578483297266</v>
      </c>
      <c r="E25" s="37">
        <f t="shared" si="0"/>
        <v>6.6787067473474682E-2</v>
      </c>
      <c r="F25" s="36">
        <f>('損益計算｜詳細'!AO50)/1000</f>
        <v>2875.9421682969005</v>
      </c>
      <c r="G25" s="37">
        <f t="shared" si="1"/>
        <v>7.8993320302320216E-2</v>
      </c>
      <c r="H25" s="36">
        <f>('損益計算｜詳細'!BB50)/1000</f>
        <v>2908.3165546078344</v>
      </c>
      <c r="I25" s="37">
        <f t="shared" si="2"/>
        <v>8.0330772482865617E-2</v>
      </c>
      <c r="J25" s="36">
        <f>('損益計算｜詳細'!BO50)/1000</f>
        <v>2999.0761076396911</v>
      </c>
      <c r="K25" s="37">
        <f t="shared" si="3"/>
        <v>8.1749296451753301E-2</v>
      </c>
      <c r="L25" s="36">
        <f>('損益計算｜詳細'!CB50)/1000</f>
        <v>3058.3885085778688</v>
      </c>
      <c r="M25" s="37">
        <f t="shared" si="5"/>
        <v>9.7189184945667292E-2</v>
      </c>
      <c r="N25" s="36">
        <f>('損益計算｜詳細'!CO50)/1000</f>
        <v>3096.1162624275389</v>
      </c>
      <c r="O25" s="37">
        <f t="shared" si="6"/>
        <v>0.10088486292204737</v>
      </c>
      <c r="P25" s="36">
        <f>('損益計算｜詳細'!DB50)/1000</f>
        <v>3120.1143368272756</v>
      </c>
      <c r="Q25" s="37">
        <f t="shared" si="7"/>
        <v>0.10063465872646445</v>
      </c>
      <c r="R25" s="36">
        <f>('損益計算｜詳細'!DO50)/1000</f>
        <v>3135.3791622178892</v>
      </c>
      <c r="S25" s="37">
        <f t="shared" si="8"/>
        <v>0.10015560245766311</v>
      </c>
      <c r="T25" s="36">
        <f>('損益計算｜詳細'!EB50)/1000</f>
        <v>3145.088895187484</v>
      </c>
      <c r="U25" s="37">
        <f t="shared" si="9"/>
        <v>9.9522242311965492E-2</v>
      </c>
      <c r="V25" s="38">
        <f t="shared" si="11"/>
        <v>28164.107718896008</v>
      </c>
      <c r="W25" s="37">
        <f t="shared" si="10"/>
        <v>8.3679649057092104E-2</v>
      </c>
    </row>
    <row r="26" spans="1:23" ht="19" customHeight="1">
      <c r="A26" s="35" t="s">
        <v>188</v>
      </c>
      <c r="B26" s="36">
        <f>('損益計算｜詳細'!O51)/1000</f>
        <v>2531.7757495675887</v>
      </c>
      <c r="C26" s="37">
        <f t="shared" si="4"/>
        <v>7.512759453467252E-2</v>
      </c>
      <c r="D26" s="36">
        <f>('損益計算｜詳細'!AB51)/1000</f>
        <v>4702.3156966594534</v>
      </c>
      <c r="E26" s="37">
        <f t="shared" si="0"/>
        <v>0.12538292910182824</v>
      </c>
      <c r="F26" s="36">
        <f>('損益計算｜詳細'!AO51)/1000</f>
        <v>5444.6843365938012</v>
      </c>
      <c r="G26" s="37">
        <f t="shared" si="1"/>
        <v>0.14954879777720859</v>
      </c>
      <c r="H26" s="36">
        <f>('損益計算｜詳細'!BB51)/1000</f>
        <v>5509.433109215669</v>
      </c>
      <c r="I26" s="37">
        <f t="shared" si="2"/>
        <v>0.1521763567672052</v>
      </c>
      <c r="J26" s="36">
        <f>('損益計算｜詳細'!BO51)/1000</f>
        <v>5690.9522152793825</v>
      </c>
      <c r="K26" s="37">
        <f t="shared" si="3"/>
        <v>0.15512488614561337</v>
      </c>
      <c r="L26" s="36">
        <f>('損益計算｜詳細'!CB51)/1000</f>
        <v>5809.5770171557378</v>
      </c>
      <c r="M26" s="37">
        <f t="shared" si="5"/>
        <v>0.18461619692620268</v>
      </c>
      <c r="N26" s="36">
        <f>('損益計算｜詳細'!CO51)/1000</f>
        <v>5885.032524855078</v>
      </c>
      <c r="O26" s="37">
        <f t="shared" si="6"/>
        <v>0.19175982076858136</v>
      </c>
      <c r="P26" s="36">
        <f>('損益計算｜詳細'!DB51)/1000</f>
        <v>5933.0286736545504</v>
      </c>
      <c r="Q26" s="37">
        <f t="shared" si="7"/>
        <v>0.19136103723515771</v>
      </c>
      <c r="R26" s="36">
        <f>('損益計算｜詳細'!DO51)/1000</f>
        <v>5963.5583244357776</v>
      </c>
      <c r="S26" s="37">
        <f t="shared" si="8"/>
        <v>0.19049810114601054</v>
      </c>
      <c r="T26" s="36">
        <f>('損益計算｜詳細'!EB51)/1000</f>
        <v>5982.9777903749682</v>
      </c>
      <c r="U26" s="37">
        <f t="shared" si="9"/>
        <v>0.1893235406833581</v>
      </c>
      <c r="V26" s="38">
        <f>SUM(B26,D26,F26,H26,J26,L26,N26,P26,R26,T26)</f>
        <v>53453.335437792011</v>
      </c>
      <c r="W26" s="37">
        <f t="shared" si="10"/>
        <v>0.15881761265117025</v>
      </c>
    </row>
    <row r="27" spans="1:23" ht="19" customHeight="1">
      <c r="A27" s="35" t="s">
        <v>203</v>
      </c>
      <c r="B27" s="36">
        <f>('損益計算｜詳細'!O52)/1000</f>
        <v>6240</v>
      </c>
      <c r="C27" s="37">
        <f>B27/$B$15</f>
        <v>0.18516497362628739</v>
      </c>
      <c r="D27" s="36">
        <f>('損益計算｜詳細'!AB52)/1000</f>
        <v>7488</v>
      </c>
      <c r="E27" s="37">
        <f t="shared" ref="E27" si="12">D27/$D$15</f>
        <v>0.19966064247482695</v>
      </c>
      <c r="F27" s="36">
        <f>('損益計算｜詳細'!AO52)/1000</f>
        <v>7488</v>
      </c>
      <c r="G27" s="37">
        <f t="shared" ref="G27" si="13">F27/$F$15</f>
        <v>0.20567241891865104</v>
      </c>
      <c r="H27" s="36">
        <f>('損益計算｜詳細'!BB52)/1000</f>
        <v>7488</v>
      </c>
      <c r="I27" s="37">
        <f t="shared" ref="I27" si="14">H27/$H$15</f>
        <v>0.20682646233907231</v>
      </c>
      <c r="J27" s="36">
        <f>('損益計算｜詳細'!BO52)/1000</f>
        <v>7488</v>
      </c>
      <c r="K27" s="37">
        <f t="shared" ref="K27" si="15">J27/$J$15</f>
        <v>0.20410910222364753</v>
      </c>
      <c r="L27" s="36">
        <f>('損益計算｜詳細'!CB52)/1000</f>
        <v>1872</v>
      </c>
      <c r="M27" s="37">
        <f t="shared" ref="M27" si="16">L27/$L$15</f>
        <v>5.9488241506272618E-2</v>
      </c>
      <c r="N27" s="36">
        <f>('損益計算｜詳細'!CO52)/1000</f>
        <v>748.8</v>
      </c>
      <c r="O27" s="37">
        <f t="shared" ref="O27" si="17">N27/$N$15</f>
        <v>2.4399143621563875E-2</v>
      </c>
      <c r="P27" s="36">
        <f>('損益計算｜詳細'!DB52)/1000</f>
        <v>748.8</v>
      </c>
      <c r="Q27" s="37">
        <f t="shared" ref="Q27" si="18">P27/$P$15</f>
        <v>2.4151433030817203E-2</v>
      </c>
      <c r="R27" s="36">
        <f>('損益計算｜詳細'!DO52)/1000</f>
        <v>748.8</v>
      </c>
      <c r="S27" s="37">
        <f t="shared" ref="S27" si="19">R27/$R$15</f>
        <v>2.3919440437706892E-2</v>
      </c>
      <c r="T27" s="36">
        <f>('損益計算｜詳細'!EB52)/1000</f>
        <v>748.8</v>
      </c>
      <c r="U27" s="37">
        <f t="shared" ref="U27" si="20">T27/$T$15</f>
        <v>2.3694800855146372E-2</v>
      </c>
      <c r="V27" s="38">
        <f>SUM(B27,D27,F27,H27,J27,L27,N27,P27,R27,T27)</f>
        <v>41059.200000000012</v>
      </c>
      <c r="W27" s="37">
        <f t="shared" ref="W27" si="21">V27/$V$15</f>
        <v>0.12199283857516918</v>
      </c>
    </row>
    <row r="28" spans="1:23" ht="19" customHeight="1">
      <c r="A28" s="24"/>
      <c r="B28" s="27"/>
      <c r="C28" s="28"/>
      <c r="D28" s="27"/>
      <c r="E28" s="28"/>
      <c r="F28" s="27"/>
      <c r="G28" s="28"/>
      <c r="H28" s="27"/>
      <c r="I28" s="28"/>
      <c r="J28" s="27"/>
      <c r="K28" s="28"/>
      <c r="L28" s="27"/>
      <c r="M28" s="28"/>
      <c r="N28" s="27"/>
      <c r="O28" s="28"/>
      <c r="P28" s="27"/>
      <c r="Q28" s="28"/>
      <c r="R28" s="27"/>
      <c r="S28" s="28"/>
      <c r="T28" s="27"/>
      <c r="U28" s="28"/>
      <c r="V28" s="21"/>
      <c r="W28" s="28"/>
    </row>
    <row r="29" spans="1:23" ht="19" customHeight="1">
      <c r="A29" s="58" t="s">
        <v>171</v>
      </c>
      <c r="B29" s="26">
        <f>B13-B15</f>
        <v>-1713.2011947565261</v>
      </c>
      <c r="C29" s="39">
        <f>B29/B9</f>
        <v>-5.1878720328676166E-2</v>
      </c>
      <c r="D29" s="26">
        <f>D13-D15</f>
        <v>22764.670503253976</v>
      </c>
      <c r="E29" s="39">
        <f>D29/D9</f>
        <v>0.36354285534522834</v>
      </c>
      <c r="F29" s="26">
        <f>F13-F15</f>
        <v>33152.024602531812</v>
      </c>
      <c r="G29" s="39">
        <f>F29/F9</f>
        <v>0.46109445409556421</v>
      </c>
      <c r="H29" s="26">
        <f>H13-H15</f>
        <v>34163.409114372342</v>
      </c>
      <c r="I29" s="39">
        <f>H29/H9</f>
        <v>0.46987194788332165</v>
      </c>
      <c r="J29" s="26">
        <f>J13-J15</f>
        <v>35950.400694723219</v>
      </c>
      <c r="K29" s="39">
        <f>J29/J9</f>
        <v>0.47948634051860201</v>
      </c>
      <c r="L29" s="26">
        <f>L13-L15</f>
        <v>42651.068999695599</v>
      </c>
      <c r="M29" s="39">
        <f>L29/L9</f>
        <v>0.55782408127773253</v>
      </c>
      <c r="N29" s="26">
        <f>N13-N15</f>
        <v>44373.064842937485</v>
      </c>
      <c r="O29" s="39">
        <f>N29/N9</f>
        <v>0.57327388356077247</v>
      </c>
      <c r="P29" s="26">
        <f>P13-P15</f>
        <v>44658.24700120827</v>
      </c>
      <c r="Q29" s="39">
        <f>P29/P9</f>
        <v>0.57252064738908925</v>
      </c>
      <c r="R29" s="26">
        <f>R13-R15</f>
        <v>44739.158907352175</v>
      </c>
      <c r="S29" s="39">
        <f>R29/R9</f>
        <v>0.5707655322389118</v>
      </c>
      <c r="T29" s="26">
        <f>T13-T15</f>
        <v>44685.113067611208</v>
      </c>
      <c r="U29" s="39">
        <f>T29/T9</f>
        <v>0.56831605791476303</v>
      </c>
      <c r="V29" s="26">
        <f>V13-V15</f>
        <v>345423.95653892966</v>
      </c>
      <c r="W29" s="39">
        <f>V29/V9</f>
        <v>0.49058746683769572</v>
      </c>
    </row>
    <row r="30" spans="1:23" ht="19" customHeight="1">
      <c r="A30" s="24"/>
      <c r="B30" s="27"/>
      <c r="C30" s="28"/>
      <c r="D30" s="27"/>
      <c r="E30" s="28"/>
      <c r="F30" s="27"/>
      <c r="G30" s="28"/>
      <c r="H30" s="27"/>
      <c r="I30" s="28"/>
      <c r="J30" s="27"/>
      <c r="K30" s="28"/>
      <c r="L30" s="27"/>
      <c r="M30" s="28"/>
      <c r="N30" s="27"/>
      <c r="O30" s="28"/>
      <c r="P30" s="27"/>
      <c r="Q30" s="28"/>
      <c r="R30" s="27"/>
      <c r="S30" s="28"/>
      <c r="T30" s="27"/>
      <c r="U30" s="28"/>
      <c r="V30" s="21"/>
      <c r="W30" s="28"/>
    </row>
    <row r="31" spans="1:23" ht="19" customHeight="1">
      <c r="A31" s="58" t="s">
        <v>176</v>
      </c>
      <c r="B31" s="40">
        <f>'損益計算｜詳細'!O55/1000</f>
        <v>1300</v>
      </c>
      <c r="C31" s="39"/>
      <c r="D31" s="40">
        <f>('損益計算｜詳細'!AB55)/1000</f>
        <v>1560</v>
      </c>
      <c r="E31" s="39"/>
      <c r="F31" s="40">
        <f>('損益計算｜詳細'!AO55)/1000</f>
        <v>1560</v>
      </c>
      <c r="G31" s="39"/>
      <c r="H31" s="40">
        <f>('損益計算｜詳細'!BB55)/1000</f>
        <v>1560</v>
      </c>
      <c r="I31" s="39"/>
      <c r="J31" s="40">
        <f>('損益計算｜詳細'!BO55)/1000</f>
        <v>1560</v>
      </c>
      <c r="K31" s="39"/>
      <c r="L31" s="40">
        <f>('損益計算｜詳細'!CB55)/1000</f>
        <v>1060</v>
      </c>
      <c r="M31" s="39"/>
      <c r="N31" s="40">
        <f>('損益計算｜詳細'!CO55)/1000</f>
        <v>960</v>
      </c>
      <c r="O31" s="39"/>
      <c r="P31" s="40">
        <f>('損益計算｜詳細'!DB55)/1000</f>
        <v>960</v>
      </c>
      <c r="Q31" s="39"/>
      <c r="R31" s="40">
        <f>('損益計算｜詳細'!DO55)/1000</f>
        <v>960</v>
      </c>
      <c r="S31" s="39"/>
      <c r="T31" s="40">
        <f>('損益計算｜詳細'!EB55)/1000</f>
        <v>960</v>
      </c>
      <c r="U31" s="39"/>
      <c r="V31" s="26">
        <f>SUM(B31,D31,F31,H31,J31,L31,N31,P31,R31,T31)</f>
        <v>12440</v>
      </c>
      <c r="W31" s="39"/>
    </row>
    <row r="32" spans="1:23" ht="19" customHeight="1">
      <c r="A32" s="24"/>
      <c r="B32" s="27"/>
      <c r="C32" s="28"/>
      <c r="D32" s="27"/>
      <c r="E32" s="28"/>
      <c r="F32" s="27"/>
      <c r="G32" s="28"/>
      <c r="H32" s="27"/>
      <c r="I32" s="28"/>
      <c r="J32" s="27"/>
      <c r="K32" s="28"/>
      <c r="L32" s="27"/>
      <c r="M32" s="28"/>
      <c r="N32" s="27"/>
      <c r="O32" s="28"/>
      <c r="P32" s="27"/>
      <c r="Q32" s="28"/>
      <c r="R32" s="27"/>
      <c r="S32" s="28"/>
      <c r="T32" s="27"/>
      <c r="U32" s="28"/>
      <c r="V32" s="21"/>
      <c r="W32" s="28"/>
    </row>
    <row r="33" spans="1:23" ht="19" customHeight="1">
      <c r="A33" s="58" t="s">
        <v>172</v>
      </c>
      <c r="B33" s="26">
        <f>B29-B31</f>
        <v>-3013.2011947565261</v>
      </c>
      <c r="C33" s="39">
        <f>B33/B9</f>
        <v>-9.1244987777995612E-2</v>
      </c>
      <c r="D33" s="26">
        <f>D29-D31</f>
        <v>21204.670503253976</v>
      </c>
      <c r="E33" s="39">
        <f>D33/D9</f>
        <v>0.33863026747107083</v>
      </c>
      <c r="F33" s="26">
        <f>F29-F31</f>
        <v>31592.024602531812</v>
      </c>
      <c r="G33" s="39">
        <f>F33/F9</f>
        <v>0.4393972166865962</v>
      </c>
      <c r="H33" s="26">
        <f>H29-H31</f>
        <v>32603.409114372342</v>
      </c>
      <c r="I33" s="39">
        <f>H33/H9</f>
        <v>0.4484162367087125</v>
      </c>
      <c r="J33" s="26">
        <f>J29-J31</f>
        <v>34390.400694723219</v>
      </c>
      <c r="K33" s="39">
        <f>J33/J9</f>
        <v>0.45867993289158465</v>
      </c>
      <c r="L33" s="26">
        <f>L29-L31</f>
        <v>41591.068999695599</v>
      </c>
      <c r="M33" s="39">
        <f>L33/L9</f>
        <v>0.54396057117066776</v>
      </c>
      <c r="N33" s="26">
        <f>N29-N31</f>
        <v>43413.064842937485</v>
      </c>
      <c r="O33" s="39">
        <f>N33/N9</f>
        <v>0.56087124853507997</v>
      </c>
      <c r="P33" s="26">
        <f>P29-P31</f>
        <v>43698.24700120827</v>
      </c>
      <c r="Q33" s="39">
        <f>P33/P9</f>
        <v>0.56021340609771808</v>
      </c>
      <c r="R33" s="26">
        <f>R29-R31</f>
        <v>43779.158907352175</v>
      </c>
      <c r="S33" s="39">
        <f>R33/R9</f>
        <v>0.55851820966219456</v>
      </c>
      <c r="T33" s="26">
        <f>T29-T31</f>
        <v>43725.113067611208</v>
      </c>
      <c r="U33" s="39">
        <f>T33/T9</f>
        <v>0.55610654610771726</v>
      </c>
      <c r="V33" s="26">
        <f>V29-V31</f>
        <v>332983.95653892966</v>
      </c>
      <c r="W33" s="39">
        <f>V33/V9</f>
        <v>0.47291958951786334</v>
      </c>
    </row>
    <row r="34" spans="1:23" ht="19" customHeight="1">
      <c r="A34" s="19"/>
      <c r="B34" s="21"/>
      <c r="C34" s="41"/>
      <c r="D34" s="21"/>
      <c r="E34" s="21"/>
      <c r="F34" s="21"/>
      <c r="G34" s="21"/>
      <c r="H34" s="21"/>
      <c r="I34" s="21"/>
      <c r="J34" s="21"/>
      <c r="K34" s="21"/>
      <c r="L34" s="21"/>
      <c r="M34" s="21"/>
      <c r="N34" s="21"/>
      <c r="O34" s="21"/>
      <c r="P34" s="21"/>
      <c r="Q34" s="21"/>
      <c r="R34" s="21"/>
      <c r="S34" s="21"/>
      <c r="T34" s="21"/>
      <c r="U34" s="21"/>
      <c r="V34" s="21"/>
      <c r="W34" s="28"/>
    </row>
    <row r="35" spans="1:23" ht="19" customHeight="1">
      <c r="A35" s="58" t="s">
        <v>173</v>
      </c>
      <c r="B35" s="26">
        <f>'損益計算｜詳細'!O62/1000</f>
        <v>-4246.4834397944223</v>
      </c>
      <c r="C35" s="39">
        <f>B35/B9</f>
        <v>-0.12859092523850249</v>
      </c>
      <c r="D35" s="26">
        <f>'損益計算｜詳細'!AB62/1000</f>
        <v>20789.608529493256</v>
      </c>
      <c r="E35" s="39">
        <f>D35/D9</f>
        <v>0.33200189061559954</v>
      </c>
      <c r="F35" s="26">
        <f>'損益計算｜詳細'!AO62/1000</f>
        <v>31227.947081735805</v>
      </c>
      <c r="G35" s="39">
        <f>F35/F9</f>
        <v>0.43433344976096838</v>
      </c>
      <c r="H35" s="26">
        <f>'損益計算｜詳細'!BB62/1000</f>
        <v>32291.345134873944</v>
      </c>
      <c r="I35" s="39">
        <f>H35/H9</f>
        <v>0.44412421452145817</v>
      </c>
      <c r="J35" s="26">
        <f>'損益計算｜詳細'!BO62/1000</f>
        <v>34131.400116340192</v>
      </c>
      <c r="K35" s="39">
        <f>J35/J9</f>
        <v>0.45522552801371891</v>
      </c>
      <c r="L35" s="26">
        <f>'損益計算｜詳細'!CB62/1000</f>
        <v>41386.202872989757</v>
      </c>
      <c r="M35" s="39">
        <f>L35/L9</f>
        <v>0.54128117153087374</v>
      </c>
      <c r="N35" s="26">
        <f>'損益計算｜詳細'!CO62/1000</f>
        <v>43257.592801691411</v>
      </c>
      <c r="O35" s="39">
        <f>N35/N9</f>
        <v>0.55886264125979412</v>
      </c>
      <c r="P35" s="26">
        <f>'損益計算｜詳細'!DB62/1000</f>
        <v>43550.88700120827</v>
      </c>
      <c r="Q35" s="39">
        <f>P35/P9</f>
        <v>0.55832424455949259</v>
      </c>
      <c r="R35" s="26">
        <f>'損益計算｜詳細'!DO62/1000</f>
        <v>43631.798907352182</v>
      </c>
      <c r="S35" s="39">
        <f>R35/R9</f>
        <v>0.55663824564666853</v>
      </c>
      <c r="T35" s="26">
        <f>'損益計算｜詳細'!EB62/1000</f>
        <v>43577.7530676112</v>
      </c>
      <c r="U35" s="39">
        <f>T35/T9</f>
        <v>0.55423238604533565</v>
      </c>
      <c r="V35" s="26">
        <f>SUM(B35,D35,F35,H35,J35,L35,N35,P35,R35,T35)</f>
        <v>329598.05207350157</v>
      </c>
      <c r="W35" s="39">
        <f>V35/V9</f>
        <v>0.46811076759568837</v>
      </c>
    </row>
    <row r="36" spans="1:23" ht="19" customHeight="1">
      <c r="A36" s="19"/>
      <c r="B36" s="21"/>
      <c r="C36" s="28"/>
      <c r="D36" s="21"/>
      <c r="E36" s="28"/>
      <c r="F36" s="21"/>
      <c r="G36" s="28"/>
      <c r="H36" s="21"/>
      <c r="I36" s="28"/>
      <c r="J36" s="21"/>
      <c r="K36" s="28"/>
      <c r="L36" s="21"/>
      <c r="M36" s="28"/>
      <c r="N36" s="21"/>
      <c r="O36" s="28"/>
      <c r="P36" s="21"/>
      <c r="Q36" s="28"/>
      <c r="R36" s="21"/>
      <c r="S36" s="28"/>
      <c r="T36" s="21"/>
      <c r="U36" s="28"/>
      <c r="V36" s="21"/>
      <c r="W36" s="28"/>
    </row>
    <row r="37" spans="1:23" ht="19" customHeight="1">
      <c r="A37" s="58" t="s">
        <v>174</v>
      </c>
      <c r="B37" s="26">
        <f>'損益計算｜詳細'!O64/1000</f>
        <v>-4246.4834397944223</v>
      </c>
      <c r="C37" s="39">
        <f>B37/B9</f>
        <v>-0.12859092523850249</v>
      </c>
      <c r="D37" s="26">
        <f>'損益計算｜詳細'!AB64/1000</f>
        <v>14552.725970645282</v>
      </c>
      <c r="E37" s="39">
        <f>D37/D9</f>
        <v>0.23240132343091974</v>
      </c>
      <c r="F37" s="26">
        <f>'損益計算｜詳細'!AO64/1000</f>
        <v>21859.562957215065</v>
      </c>
      <c r="G37" s="39">
        <f>F37/F9</f>
        <v>0.30403341483267787</v>
      </c>
      <c r="H37" s="26">
        <f>'損益計算｜詳細'!BB64/1000</f>
        <v>22603.941594411765</v>
      </c>
      <c r="I37" s="39">
        <f>H37/H9</f>
        <v>0.31088695016502077</v>
      </c>
      <c r="J37" s="26">
        <f>'損益計算｜詳細'!BO64/1000</f>
        <v>23891.980081438131</v>
      </c>
      <c r="K37" s="39">
        <f>J37/J9</f>
        <v>0.31865786960960318</v>
      </c>
      <c r="L37" s="26">
        <f>'損益計算｜詳細'!CB64/1000</f>
        <v>28970.342011092831</v>
      </c>
      <c r="M37" s="39">
        <f>L37/L9</f>
        <v>0.37889682007161163</v>
      </c>
      <c r="N37" s="26">
        <f>'損益計算｜詳細'!CO64/1000</f>
        <v>30280.314961183991</v>
      </c>
      <c r="O37" s="39">
        <f>N37/N9</f>
        <v>0.39120384888185589</v>
      </c>
      <c r="P37" s="26">
        <f>'損益計算｜詳細'!DB64/1000</f>
        <v>30485.620900845792</v>
      </c>
      <c r="Q37" s="39">
        <f>P37/P9</f>
        <v>0.39082697119164483</v>
      </c>
      <c r="R37" s="26">
        <f>'損益計算｜詳細'!DO64/1000</f>
        <v>30542.259235146528</v>
      </c>
      <c r="S37" s="39">
        <f>R37/R9</f>
        <v>0.389646771952668</v>
      </c>
      <c r="T37" s="26">
        <f>'損益計算｜詳細'!EB64/1000</f>
        <v>30504.427147327839</v>
      </c>
      <c r="U37" s="39">
        <f>T37/T9</f>
        <v>0.38796267023173492</v>
      </c>
      <c r="V37" s="26">
        <f>SUM(B37,D37,F37,H37,J37,L37,N37,P37,R37,T37)</f>
        <v>229444.69141951276</v>
      </c>
      <c r="W37" s="39">
        <f>V37/V9</f>
        <v>0.32586822023205447</v>
      </c>
    </row>
    <row r="38" spans="1:23" ht="19" customHeight="1">
      <c r="A38" s="19"/>
      <c r="B38" s="21"/>
      <c r="C38" s="28"/>
      <c r="D38" s="21"/>
      <c r="E38" s="28"/>
      <c r="F38" s="21"/>
      <c r="G38" s="28"/>
      <c r="H38" s="21"/>
      <c r="I38" s="28"/>
      <c r="J38" s="21"/>
      <c r="K38" s="28"/>
      <c r="L38" s="21"/>
      <c r="M38" s="28"/>
      <c r="N38" s="21"/>
      <c r="O38" s="28"/>
      <c r="P38" s="21"/>
      <c r="Q38" s="28"/>
      <c r="R38" s="21"/>
      <c r="S38" s="28"/>
      <c r="T38" s="21"/>
      <c r="U38" s="28"/>
      <c r="V38" s="21"/>
      <c r="W38" s="28"/>
    </row>
    <row r="39" spans="1:23" ht="19" customHeight="1">
      <c r="A39" s="58" t="s">
        <v>175</v>
      </c>
      <c r="B39" s="26">
        <f>'損益計算｜詳細'!O66/1000</f>
        <v>-5490.6498252088595</v>
      </c>
      <c r="C39" s="39">
        <f>B39/B9</f>
        <v>-0.16626645345363927</v>
      </c>
      <c r="D39" s="26">
        <f>'損益計算｜詳細'!AB66/1000</f>
        <v>12026.786883501341</v>
      </c>
      <c r="E39" s="39">
        <f>D39/D9</f>
        <v>0.19206306735832829</v>
      </c>
      <c r="F39" s="26">
        <f>'損益計算｜詳細'!AO66/1000</f>
        <v>19282.639417106406</v>
      </c>
      <c r="G39" s="39">
        <f>F39/F9</f>
        <v>0.26819231109261649</v>
      </c>
      <c r="H39" s="26">
        <f>'損益計算｜詳細'!BB66/1000</f>
        <v>19975.004513005515</v>
      </c>
      <c r="I39" s="39">
        <f>H39/H9</f>
        <v>0.27472944073241029</v>
      </c>
      <c r="J39" s="26">
        <f>'損益計算｜詳細'!BO66/1000</f>
        <v>21209.979598916492</v>
      </c>
      <c r="K39" s="39">
        <f>J39/J9</f>
        <v>0.28288684698447342</v>
      </c>
      <c r="L39" s="26">
        <f>'損益計算｜詳細'!CB66/1000</f>
        <v>26234.207076894014</v>
      </c>
      <c r="M39" s="39">
        <f>L39/L9</f>
        <v>0.34311150468051893</v>
      </c>
      <c r="N39" s="26">
        <f>'損益計算｜詳細'!CO66/1000</f>
        <v>28891.606471977728</v>
      </c>
      <c r="O39" s="39">
        <f>N39/N9</f>
        <v>0.37326255247695367</v>
      </c>
      <c r="P39" s="26">
        <f>'損益計算｜詳細'!DB66/1000</f>
        <v>30485.620900845792</v>
      </c>
      <c r="Q39" s="39">
        <f>P39/P9</f>
        <v>0.39082697119164483</v>
      </c>
      <c r="R39" s="26">
        <f>'損益計算｜詳細'!DO66/1000</f>
        <v>30542.259235146528</v>
      </c>
      <c r="S39" s="39">
        <f>R39/R9</f>
        <v>0.389646771952668</v>
      </c>
      <c r="T39" s="26">
        <f>'損益計算｜詳細'!EB66/1000</f>
        <v>30504.427147327839</v>
      </c>
      <c r="U39" s="39">
        <f>T39/T9</f>
        <v>0.38796267023173492</v>
      </c>
      <c r="V39" s="26">
        <f>SUM(B39,D39,F39,H39,J39,L39,N39,P39,R39,T39)</f>
        <v>213661.88141951282</v>
      </c>
      <c r="W39" s="39">
        <f>V39/V9</f>
        <v>0.30345272579136129</v>
      </c>
    </row>
    <row r="41" spans="1:23" ht="19" customHeight="1">
      <c r="A41" s="59" t="s">
        <v>221</v>
      </c>
      <c r="B41" s="42"/>
      <c r="C41" s="43">
        <f>'損益計算｜詳細'!O69</f>
        <v>-0.13952990976193677</v>
      </c>
      <c r="D41" s="42"/>
      <c r="E41" s="43">
        <f>'損益計算｜詳細'!AB69</f>
        <v>0.27775007780462874</v>
      </c>
      <c r="F41" s="42"/>
      <c r="G41" s="43">
        <f>'損益計算｜詳細'!AO69</f>
        <v>1.1806907687542345</v>
      </c>
      <c r="H41" s="42"/>
      <c r="I41" s="43">
        <f>'損益計算｜詳細'!BB69</f>
        <v>2.251076729340284</v>
      </c>
      <c r="J41" s="42"/>
      <c r="K41" s="43">
        <f>'損益計算｜詳細'!BO69</f>
        <v>3.3544525540635779</v>
      </c>
      <c r="L41" s="44"/>
      <c r="M41" s="45">
        <f>'損益計算｜詳細'!CB69</f>
        <v>4.5829040305053939</v>
      </c>
      <c r="N41" s="44"/>
      <c r="O41" s="45">
        <f>'損益計算｜詳細'!CO69</f>
        <v>5.9663408086464615</v>
      </c>
      <c r="P41" s="44"/>
      <c r="Q41" s="45">
        <f>'損益計算｜詳細'!DB69</f>
        <v>7.3644001640825048</v>
      </c>
      <c r="R41" s="44"/>
      <c r="S41" s="45">
        <f>'損益計算｜詳細'!DO69</f>
        <v>8.7677282730306647</v>
      </c>
      <c r="T41" s="44"/>
      <c r="U41" s="46">
        <f>'損益計算｜詳細'!EA69</f>
        <v>10.813391036010414</v>
      </c>
      <c r="V41" s="44"/>
      <c r="W41" s="47"/>
    </row>
    <row r="42" spans="1:23" ht="19" customHeight="1">
      <c r="A42" s="48"/>
      <c r="L42" s="14"/>
      <c r="M42" s="14"/>
      <c r="N42" s="14"/>
      <c r="O42" s="14"/>
      <c r="P42" s="14"/>
      <c r="Q42" s="14"/>
      <c r="R42" s="14"/>
      <c r="S42" s="14"/>
      <c r="T42" s="14"/>
      <c r="U42" s="14"/>
      <c r="W42" s="49"/>
    </row>
    <row r="43" spans="1:23" ht="19" customHeight="1">
      <c r="A43" s="48"/>
      <c r="L43" s="14"/>
      <c r="M43" s="14"/>
      <c r="N43" s="14"/>
      <c r="O43" s="14"/>
      <c r="P43" s="14"/>
      <c r="Q43" s="14"/>
      <c r="R43" s="14"/>
      <c r="S43" s="14"/>
      <c r="T43" s="14"/>
      <c r="U43" s="14"/>
      <c r="W43" s="49"/>
    </row>
    <row r="44" spans="1:23" ht="19" customHeight="1">
      <c r="A44" s="48"/>
      <c r="L44" s="14"/>
      <c r="M44" s="14"/>
      <c r="N44" s="14"/>
      <c r="O44" s="14"/>
      <c r="P44" s="14"/>
      <c r="Q44" s="14"/>
      <c r="R44" s="14"/>
      <c r="S44" s="14"/>
      <c r="T44" s="14"/>
      <c r="U44" s="14"/>
      <c r="W44" s="49"/>
    </row>
    <row r="45" spans="1:23" ht="19" customHeight="1">
      <c r="A45" s="48"/>
      <c r="L45" s="14"/>
      <c r="M45" s="14"/>
      <c r="N45" s="14"/>
      <c r="O45" s="14"/>
      <c r="P45" s="14"/>
      <c r="Q45" s="14"/>
      <c r="R45" s="14"/>
      <c r="S45" s="14"/>
      <c r="T45" s="14"/>
      <c r="U45" s="14"/>
      <c r="W45" s="49"/>
    </row>
    <row r="46" spans="1:23" ht="19" customHeight="1">
      <c r="A46" s="48"/>
      <c r="L46" s="14"/>
      <c r="M46" s="14"/>
      <c r="N46" s="14"/>
      <c r="O46" s="14"/>
      <c r="P46" s="14"/>
      <c r="Q46" s="14"/>
      <c r="R46" s="14"/>
      <c r="S46" s="14"/>
      <c r="T46" s="14"/>
      <c r="U46" s="14"/>
      <c r="W46" s="49"/>
    </row>
    <row r="47" spans="1:23" ht="19" customHeight="1">
      <c r="A47" s="48"/>
      <c r="L47" s="14"/>
      <c r="M47" s="14"/>
      <c r="N47" s="14"/>
      <c r="O47" s="14"/>
      <c r="P47" s="14"/>
      <c r="Q47" s="14"/>
      <c r="R47" s="14"/>
      <c r="S47" s="14"/>
      <c r="T47" s="14"/>
      <c r="U47" s="14"/>
      <c r="W47" s="49"/>
    </row>
    <row r="48" spans="1:23" ht="19" customHeight="1">
      <c r="A48" s="48"/>
      <c r="L48" s="14"/>
      <c r="M48" s="14"/>
      <c r="N48" s="14"/>
      <c r="O48" s="14"/>
      <c r="P48" s="14"/>
      <c r="Q48" s="14"/>
      <c r="R48" s="14"/>
      <c r="S48" s="14"/>
      <c r="T48" s="14"/>
      <c r="U48" s="14"/>
      <c r="W48" s="49"/>
    </row>
    <row r="49" spans="1:23" ht="19" customHeight="1">
      <c r="A49" s="48"/>
      <c r="L49" s="14"/>
      <c r="M49" s="14"/>
      <c r="N49" s="14"/>
      <c r="O49" s="14"/>
      <c r="P49" s="14"/>
      <c r="Q49" s="14"/>
      <c r="R49" s="14"/>
      <c r="S49" s="14"/>
      <c r="T49" s="14"/>
      <c r="U49" s="14"/>
      <c r="W49" s="49"/>
    </row>
    <row r="50" spans="1:23" ht="19" customHeight="1">
      <c r="A50" s="48"/>
      <c r="L50" s="14"/>
      <c r="M50" s="14"/>
      <c r="N50" s="14"/>
      <c r="O50" s="14"/>
      <c r="P50" s="14"/>
      <c r="Q50" s="14"/>
      <c r="R50" s="14"/>
      <c r="S50" s="14"/>
      <c r="T50" s="14"/>
      <c r="U50" s="14"/>
      <c r="W50" s="49"/>
    </row>
    <row r="51" spans="1:23" ht="19" customHeight="1">
      <c r="A51" s="48"/>
      <c r="L51" s="14"/>
      <c r="M51" s="14"/>
      <c r="N51" s="14"/>
      <c r="O51" s="14"/>
      <c r="P51" s="14"/>
      <c r="Q51" s="14"/>
      <c r="R51" s="14"/>
      <c r="S51" s="14"/>
      <c r="T51" s="14"/>
      <c r="U51" s="14"/>
      <c r="W51" s="49"/>
    </row>
    <row r="52" spans="1:23" ht="19" customHeight="1">
      <c r="A52" s="48"/>
      <c r="L52" s="14"/>
      <c r="M52" s="14"/>
      <c r="N52" s="14"/>
      <c r="O52" s="14"/>
      <c r="P52" s="14"/>
      <c r="Q52" s="14"/>
      <c r="R52" s="14"/>
      <c r="S52" s="14"/>
      <c r="T52" s="14"/>
      <c r="U52" s="14"/>
      <c r="W52" s="49"/>
    </row>
    <row r="53" spans="1:23" ht="19" customHeight="1">
      <c r="A53" s="48"/>
      <c r="L53" s="14"/>
      <c r="M53" s="14"/>
      <c r="N53" s="14"/>
      <c r="O53" s="14"/>
      <c r="P53" s="14"/>
      <c r="Q53" s="14"/>
      <c r="R53" s="14"/>
      <c r="S53" s="14"/>
      <c r="T53" s="14"/>
      <c r="U53" s="14"/>
      <c r="W53" s="49"/>
    </row>
    <row r="54" spans="1:23" ht="19" customHeight="1">
      <c r="A54" s="48"/>
      <c r="L54" s="14"/>
      <c r="M54" s="14"/>
      <c r="N54" s="14"/>
      <c r="O54" s="14"/>
      <c r="P54" s="14"/>
      <c r="Q54" s="14"/>
      <c r="R54" s="14"/>
      <c r="S54" s="14"/>
      <c r="T54" s="14"/>
      <c r="U54" s="14"/>
      <c r="W54" s="49"/>
    </row>
    <row r="55" spans="1:23" ht="19" customHeight="1">
      <c r="A55" s="48"/>
      <c r="L55" s="14"/>
      <c r="M55" s="14"/>
      <c r="N55" s="14"/>
      <c r="O55" s="14"/>
      <c r="P55" s="14"/>
      <c r="Q55" s="14"/>
      <c r="R55" s="14"/>
      <c r="S55" s="14"/>
      <c r="T55" s="14"/>
      <c r="U55" s="14"/>
      <c r="W55" s="49"/>
    </row>
    <row r="56" spans="1:23" ht="19" customHeight="1">
      <c r="A56" s="48"/>
      <c r="L56" s="14"/>
      <c r="M56" s="14"/>
      <c r="N56" s="14"/>
      <c r="O56" s="14"/>
      <c r="P56" s="14"/>
      <c r="Q56" s="14"/>
      <c r="R56" s="14"/>
      <c r="S56" s="14"/>
      <c r="T56" s="14"/>
      <c r="U56" s="14"/>
      <c r="W56" s="49"/>
    </row>
    <row r="57" spans="1:23" ht="19" customHeight="1">
      <c r="A57" s="48"/>
      <c r="L57" s="14"/>
      <c r="M57" s="14"/>
      <c r="N57" s="14"/>
      <c r="O57" s="14"/>
      <c r="P57" s="14"/>
      <c r="Q57" s="14"/>
      <c r="R57" s="14"/>
      <c r="S57" s="14"/>
      <c r="T57" s="14"/>
      <c r="U57" s="14"/>
      <c r="W57" s="49"/>
    </row>
    <row r="58" spans="1:23" ht="19" customHeight="1">
      <c r="A58" s="48"/>
      <c r="L58" s="14"/>
      <c r="M58" s="14"/>
      <c r="N58" s="14"/>
      <c r="O58" s="14"/>
      <c r="P58" s="14"/>
      <c r="Q58" s="14"/>
      <c r="R58" s="14"/>
      <c r="S58" s="14"/>
      <c r="T58" s="14"/>
      <c r="U58" s="14"/>
      <c r="W58" s="49"/>
    </row>
    <row r="59" spans="1:23" ht="19" customHeight="1">
      <c r="A59" s="48"/>
      <c r="L59" s="14"/>
      <c r="M59" s="14"/>
      <c r="N59" s="14"/>
      <c r="O59" s="14"/>
      <c r="P59" s="14"/>
      <c r="Q59" s="14"/>
      <c r="R59" s="14"/>
      <c r="S59" s="14"/>
      <c r="T59" s="14"/>
      <c r="U59" s="14"/>
      <c r="W59" s="49"/>
    </row>
    <row r="60" spans="1:23" ht="19" customHeight="1">
      <c r="A60" s="50"/>
      <c r="B60" s="51"/>
      <c r="C60" s="51"/>
      <c r="D60" s="51"/>
      <c r="E60" s="51"/>
      <c r="F60" s="51"/>
      <c r="G60" s="51"/>
      <c r="H60" s="51"/>
      <c r="I60" s="51"/>
      <c r="J60" s="51"/>
      <c r="K60" s="51"/>
      <c r="L60" s="51"/>
      <c r="M60" s="51"/>
      <c r="N60" s="51"/>
      <c r="O60" s="51"/>
      <c r="P60" s="51"/>
      <c r="Q60" s="51"/>
      <c r="R60" s="51"/>
      <c r="S60" s="51"/>
      <c r="T60" s="51"/>
      <c r="U60" s="51"/>
      <c r="V60" s="52"/>
      <c r="W60" s="53"/>
    </row>
    <row r="61" spans="1:23" ht="19" customHeight="1">
      <c r="A61" s="54"/>
    </row>
  </sheetData>
  <sheetProtection sheet="1" objects="1" scenarios="1"/>
  <mergeCells count="11">
    <mergeCell ref="N5:O5"/>
    <mergeCell ref="P5:Q5"/>
    <mergeCell ref="R5:S5"/>
    <mergeCell ref="T5:U5"/>
    <mergeCell ref="V5:W5"/>
    <mergeCell ref="B5:C5"/>
    <mergeCell ref="L5:M5"/>
    <mergeCell ref="J5:K5"/>
    <mergeCell ref="H5:I5"/>
    <mergeCell ref="F5:G5"/>
    <mergeCell ref="D5:E5"/>
  </mergeCells>
  <phoneticPr fontId="5"/>
  <pageMargins left="0.70866141732283472" right="0.70866141732283472" top="0.74803149606299213" bottom="0.74803149606299213" header="0.31496062992125984" footer="0.31496062992125984"/>
  <pageSetup paperSize="9" scale="3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4089B-30D3-4E9C-8751-179EF0F84762}">
  <sheetPr>
    <tabColor theme="1"/>
    <pageSetUpPr fitToPage="1"/>
  </sheetPr>
  <dimension ref="A2:W61"/>
  <sheetViews>
    <sheetView showGridLines="0" view="pageBreakPreview" zoomScale="60" zoomScaleNormal="50" workbookViewId="0">
      <selection sqref="A1:XFD1048576"/>
    </sheetView>
  </sheetViews>
  <sheetFormatPr defaultRowHeight="19" customHeight="1"/>
  <cols>
    <col min="1" max="1" width="30" style="14" customWidth="1"/>
    <col min="2" max="2" width="15.5" style="14" customWidth="1"/>
    <col min="3" max="3" width="11.5" style="14" customWidth="1"/>
    <col min="4" max="4" width="15.5" style="14" customWidth="1"/>
    <col min="5" max="5" width="11.5" style="14" customWidth="1"/>
    <col min="6" max="6" width="15.5" style="14" customWidth="1"/>
    <col min="7" max="7" width="11.5" style="14" customWidth="1"/>
    <col min="8" max="8" width="15.5" style="14" customWidth="1"/>
    <col min="9" max="9" width="11.5" style="14" customWidth="1"/>
    <col min="10" max="10" width="15.5" style="14" customWidth="1"/>
    <col min="11" max="11" width="11.5" style="14" customWidth="1"/>
    <col min="12" max="12" width="15.5" style="15" customWidth="1"/>
    <col min="13" max="13" width="11.5" style="15" customWidth="1"/>
    <col min="14" max="14" width="15.5" style="15" customWidth="1"/>
    <col min="15" max="15" width="11.5" style="15" customWidth="1"/>
    <col min="16" max="16" width="15.5" style="15" customWidth="1"/>
    <col min="17" max="17" width="11.5" style="15" customWidth="1"/>
    <col min="18" max="18" width="15.5" style="15" customWidth="1"/>
    <col min="19" max="19" width="11.5" style="15" customWidth="1"/>
    <col min="20" max="20" width="15.5" style="15" customWidth="1"/>
    <col min="21" max="21" width="11.5" style="15" customWidth="1"/>
    <col min="22" max="22" width="15.5" style="15" customWidth="1"/>
    <col min="23" max="23" width="11.5" style="15" customWidth="1"/>
    <col min="24" max="16384" width="8.6640625" style="15"/>
  </cols>
  <sheetData>
    <row r="2" spans="1:23" ht="19" customHeight="1">
      <c r="A2" s="55" t="s">
        <v>276</v>
      </c>
      <c r="H2" s="13"/>
      <c r="I2" s="8"/>
      <c r="J2" s="8"/>
      <c r="K2" s="8"/>
    </row>
    <row r="3" spans="1:23" ht="19" customHeight="1">
      <c r="B3" s="16"/>
      <c r="C3" s="16"/>
      <c r="I3" s="1"/>
      <c r="L3" s="8"/>
      <c r="M3" s="8"/>
      <c r="T3" s="14"/>
      <c r="W3" s="17" t="s">
        <v>223</v>
      </c>
    </row>
    <row r="4" spans="1:23" ht="19" customHeight="1">
      <c r="A4" s="15"/>
      <c r="B4" s="16"/>
      <c r="C4" s="16"/>
      <c r="I4" s="1"/>
      <c r="L4" s="8"/>
      <c r="M4" s="8"/>
      <c r="T4" s="14"/>
    </row>
    <row r="5" spans="1:23" ht="19" customHeight="1">
      <c r="A5" s="18"/>
      <c r="B5" s="386" t="s">
        <v>248</v>
      </c>
      <c r="C5" s="387"/>
      <c r="D5" s="388" t="s">
        <v>249</v>
      </c>
      <c r="E5" s="389"/>
      <c r="F5" s="388" t="s">
        <v>250</v>
      </c>
      <c r="G5" s="389"/>
      <c r="H5" s="388" t="s">
        <v>251</v>
      </c>
      <c r="I5" s="389"/>
      <c r="J5" s="388" t="s">
        <v>252</v>
      </c>
      <c r="K5" s="389"/>
      <c r="L5" s="388" t="s">
        <v>253</v>
      </c>
      <c r="M5" s="389"/>
      <c r="N5" s="388" t="s">
        <v>254</v>
      </c>
      <c r="O5" s="389"/>
      <c r="P5" s="388" t="s">
        <v>255</v>
      </c>
      <c r="Q5" s="389"/>
      <c r="R5" s="388" t="s">
        <v>256</v>
      </c>
      <c r="S5" s="389"/>
      <c r="T5" s="388" t="s">
        <v>257</v>
      </c>
      <c r="U5" s="389"/>
      <c r="V5" s="391" t="s">
        <v>277</v>
      </c>
      <c r="W5" s="392"/>
    </row>
    <row r="6" spans="1:23" ht="19" customHeight="1">
      <c r="A6" s="56" t="s">
        <v>48</v>
      </c>
      <c r="B6" s="20" t="str">
        <f>INT('損益計算｜詳細'!O4/9)&amp;"名"</f>
        <v>924名</v>
      </c>
      <c r="C6" s="20"/>
      <c r="D6" s="21" t="str">
        <f>INT('損益計算｜詳細'!AB4/12)&amp;"名"</f>
        <v>1119名</v>
      </c>
      <c r="E6" s="21"/>
      <c r="F6" s="21" t="str">
        <f>INT('損益計算｜詳細'!AO4/12)&amp;"名"</f>
        <v>1237名</v>
      </c>
      <c r="G6" s="21"/>
      <c r="H6" s="21" t="str">
        <f>INT('損益計算｜詳細'!BB4/12)&amp;"名"</f>
        <v>1248名</v>
      </c>
      <c r="I6" s="21"/>
      <c r="J6" s="21" t="str">
        <f>INT('損益計算｜詳細'!BO4/12)&amp;"名"</f>
        <v>1288名</v>
      </c>
      <c r="K6" s="21"/>
      <c r="L6" s="21" t="str">
        <f>INT('損益計算｜詳細'!CB4/12)&amp;"名"</f>
        <v>1313名</v>
      </c>
      <c r="M6" s="21"/>
      <c r="N6" s="21" t="str">
        <f>INT('損益計算｜詳細'!CO4/12)&amp;"名"</f>
        <v>1329名</v>
      </c>
      <c r="O6" s="21"/>
      <c r="P6" s="21" t="str">
        <f>INT('損益計算｜詳細'!DB4/12)&amp;"名"</f>
        <v>1339名</v>
      </c>
      <c r="Q6" s="21"/>
      <c r="R6" s="21" t="str">
        <f>INT('損益計算｜詳細'!DO4/12)&amp;"名"</f>
        <v>1345名</v>
      </c>
      <c r="S6" s="21"/>
      <c r="T6" s="21" t="str">
        <f>INT('損益計算｜詳細'!EB4/12)&amp;"名"</f>
        <v>1349名</v>
      </c>
      <c r="U6" s="21"/>
      <c r="V6" s="21" t="str">
        <f>INT(SUM('損益計算｜詳細'!O4,'損益計算｜詳細'!AB4,'損益計算｜詳細'!AO4,'損益計算｜詳細'!BB4,'損益計算｜詳細'!BO4,'損益計算｜詳細'!CB4,'損益計算｜詳細'!CO4,'損益計算｜詳細'!DB4,'損益計算｜詳細'!DO4,'損益計算｜詳細'!EB4)/117)&amp;"名"</f>
        <v>1257名</v>
      </c>
      <c r="W6" s="21"/>
    </row>
    <row r="7" spans="1:23" ht="19" customHeight="1">
      <c r="A7" s="22" t="s">
        <v>258</v>
      </c>
      <c r="B7" s="23">
        <f>'損益計算｜詳細'!O12</f>
        <v>4184.4815775807156</v>
      </c>
      <c r="C7" s="23"/>
      <c r="D7" s="23">
        <f>'損益計算｜詳細'!AB12</f>
        <v>4374.8213960314788</v>
      </c>
      <c r="E7" s="23"/>
      <c r="F7" s="23">
        <f>'損益計算｜詳細'!AO12</f>
        <v>4582.473583787978</v>
      </c>
      <c r="G7" s="23"/>
      <c r="H7" s="23">
        <f>'損益計算｜詳細'!BB12</f>
        <v>4595.3119363548421</v>
      </c>
      <c r="I7" s="23"/>
      <c r="J7" s="23">
        <f>'損益計算｜詳細'!BO12</f>
        <v>4602.0679400199406</v>
      </c>
      <c r="K7" s="23"/>
      <c r="L7" s="23">
        <f>'損益計算｜詳細'!CB12</f>
        <v>4608.7004355864647</v>
      </c>
      <c r="M7" s="23"/>
      <c r="N7" s="23">
        <f>'損益計算｜詳細'!CO12</f>
        <v>4612.7873189579941</v>
      </c>
      <c r="O7" s="23"/>
      <c r="P7" s="23">
        <f>'損益計算｜詳細'!DB12</f>
        <v>4615.3356392508804</v>
      </c>
      <c r="Q7" s="23"/>
      <c r="R7" s="23">
        <f>'損益計算｜詳細'!DO12</f>
        <v>4616.9363543549125</v>
      </c>
      <c r="S7" s="23"/>
      <c r="T7" s="23">
        <f>'損益計算｜詳細'!EB12</f>
        <v>4617.9464881762997</v>
      </c>
      <c r="U7" s="23"/>
      <c r="V7" s="23">
        <f>AVERAGE(B7,D7,F7,H7,J7,L7,N7,P7,R7,T7)</f>
        <v>4541.0862670101506</v>
      </c>
      <c r="W7" s="23"/>
    </row>
    <row r="8" spans="1:23" ht="19" customHeight="1">
      <c r="A8" s="24" t="s">
        <v>259</v>
      </c>
      <c r="B8" s="25"/>
      <c r="C8" s="25"/>
      <c r="D8" s="25"/>
      <c r="E8" s="25"/>
      <c r="F8" s="25"/>
      <c r="G8" s="25"/>
      <c r="H8" s="25"/>
      <c r="I8" s="25"/>
      <c r="J8" s="25"/>
      <c r="K8" s="25"/>
      <c r="L8" s="25"/>
      <c r="M8" s="25"/>
      <c r="N8" s="25"/>
      <c r="O8" s="25"/>
      <c r="P8" s="25"/>
      <c r="Q8" s="25"/>
      <c r="R8" s="25"/>
      <c r="S8" s="25"/>
      <c r="T8" s="25"/>
      <c r="U8" s="25"/>
      <c r="V8" s="25"/>
      <c r="W8" s="25"/>
    </row>
    <row r="9" spans="1:23" ht="19" customHeight="1">
      <c r="A9" s="57" t="s">
        <v>170</v>
      </c>
      <c r="B9" s="26">
        <f>('損益計算｜詳細'!O13)/1000/12</f>
        <v>2751.9330724662382</v>
      </c>
      <c r="C9" s="39">
        <f>B9/$B$9</f>
        <v>1</v>
      </c>
      <c r="D9" s="219">
        <f>(('損益計算｜詳細'!AB13)/1000)/12</f>
        <v>5218.2455173535964</v>
      </c>
      <c r="E9" s="39">
        <f>D9/$D$9</f>
        <v>1</v>
      </c>
      <c r="F9" s="219">
        <f>(('損益計算｜詳細'!AO13)/1000)/12</f>
        <v>5991.5461839518757</v>
      </c>
      <c r="G9" s="39">
        <f>F9/$F$9</f>
        <v>1</v>
      </c>
      <c r="H9" s="218">
        <f>(('損益計算｜詳細'!BB13)/1000)/12</f>
        <v>6058.9928220996544</v>
      </c>
      <c r="I9" s="39">
        <f>H9/$H$9</f>
        <v>1</v>
      </c>
      <c r="J9" s="218">
        <f>(('損益計算｜詳細'!BO13)/1000)/12</f>
        <v>6248.0752242493581</v>
      </c>
      <c r="K9" s="39">
        <f>J9/$J$9</f>
        <v>1</v>
      </c>
      <c r="L9" s="218">
        <f>(('損益計算｜詳細'!CB13)/1000)/12</f>
        <v>6371.6427262038924</v>
      </c>
      <c r="M9" s="39">
        <f>L9/$L$9</f>
        <v>1</v>
      </c>
      <c r="N9" s="218">
        <f>(('損益計算｜詳細'!CO13)/1000)/12</f>
        <v>6450.2422133907066</v>
      </c>
      <c r="O9" s="39">
        <f>N9/$N$9</f>
        <v>1</v>
      </c>
      <c r="P9" s="218">
        <f>(('損益計算｜詳細'!DB13)/1000)/12</f>
        <v>6500.2382017234913</v>
      </c>
      <c r="Q9" s="39">
        <f>P9/$P$9</f>
        <v>1</v>
      </c>
      <c r="R9" s="218">
        <f>(('損益計算｜詳細'!DO13)/1000)/12</f>
        <v>6532.039921287269</v>
      </c>
      <c r="S9" s="39">
        <f>R9/$R$9</f>
        <v>1</v>
      </c>
      <c r="T9" s="218">
        <f>(('損益計算｜詳細'!EB13)/1000)/12</f>
        <v>6552.2685316405923</v>
      </c>
      <c r="U9" s="39">
        <f>T9/$T$9</f>
        <v>1</v>
      </c>
      <c r="V9" s="26">
        <f>AVERAGE(B9,D9,F9,H9,J9,L9,N9,P9,R9,T9)</f>
        <v>5867.5224414366667</v>
      </c>
      <c r="W9" s="39">
        <f>V9/$V$9</f>
        <v>1</v>
      </c>
    </row>
    <row r="10" spans="1:23" ht="19" customHeight="1">
      <c r="A10" s="24"/>
      <c r="B10" s="27"/>
      <c r="C10" s="27"/>
      <c r="D10" s="27"/>
      <c r="E10" s="27"/>
      <c r="F10" s="27"/>
      <c r="G10" s="27"/>
      <c r="H10" s="27"/>
      <c r="I10" s="27"/>
      <c r="J10" s="27"/>
      <c r="K10" s="27"/>
      <c r="L10" s="27"/>
      <c r="M10" s="27"/>
      <c r="N10" s="27"/>
      <c r="O10" s="27"/>
      <c r="P10" s="27"/>
      <c r="Q10" s="27"/>
      <c r="R10" s="27"/>
      <c r="S10" s="27"/>
      <c r="T10" s="27"/>
      <c r="U10" s="27"/>
      <c r="V10" s="21"/>
      <c r="W10" s="27"/>
    </row>
    <row r="11" spans="1:23" ht="19" customHeight="1">
      <c r="A11" s="57" t="s">
        <v>219</v>
      </c>
      <c r="B11" s="26">
        <f>'損益計算｜詳細'!O24/1000/12</f>
        <v>86.393333333333331</v>
      </c>
      <c r="C11" s="39">
        <f t="shared" ref="C11" si="0">B11/$B$9</f>
        <v>3.139368983850651E-2</v>
      </c>
      <c r="D11" s="218">
        <f>('損益計算｜詳細'!AB24/1000)/12</f>
        <v>195.88666666666666</v>
      </c>
      <c r="E11" s="39">
        <f>D11/D9</f>
        <v>3.7538798436224111E-2</v>
      </c>
      <c r="F11" s="219">
        <f>('損益計算｜詳細'!AO24/1000)/12</f>
        <v>194.92666666666665</v>
      </c>
      <c r="G11" s="39">
        <f>F11/F9</f>
        <v>3.2533616646195633E-2</v>
      </c>
      <c r="H11" s="218">
        <f>('損益計算｜詳細'!BB24/1000)/12</f>
        <v>195.01999999999998</v>
      </c>
      <c r="I11" s="39">
        <f>H11/H9</f>
        <v>3.2186867640555922E-2</v>
      </c>
      <c r="J11" s="218">
        <f>('損益計算｜詳細'!BO24/1000)/12</f>
        <v>195.01999999999998</v>
      </c>
      <c r="K11" s="39">
        <f>J11/J9</f>
        <v>3.1212812426314799E-2</v>
      </c>
      <c r="L11" s="218">
        <f>('損益計算｜詳細'!CB24/1000)/12</f>
        <v>195.01999999999998</v>
      </c>
      <c r="M11" s="39">
        <f>L11/L9</f>
        <v>3.0607491408450222E-2</v>
      </c>
      <c r="N11" s="218">
        <f>('損益計算｜詳細'!CO24/1000)/12</f>
        <v>195.01999999999998</v>
      </c>
      <c r="O11" s="39">
        <f>N11/N9</f>
        <v>3.0234523533881928E-2</v>
      </c>
      <c r="P11" s="218">
        <f>('損益計算｜詳細'!DB24/1000)/12</f>
        <v>195.01999999999998</v>
      </c>
      <c r="Q11" s="39">
        <f>P11/P9</f>
        <v>3.0001977458040206E-2</v>
      </c>
      <c r="R11" s="218">
        <f>('損益計算｜詳細'!DO24/1000)/12</f>
        <v>195.01999999999998</v>
      </c>
      <c r="S11" s="39">
        <f>R11/R9</f>
        <v>2.9855910611392495E-2</v>
      </c>
      <c r="T11" s="218">
        <f>('損益計算｜詳細'!EB24/1000)/12</f>
        <v>195.01999999999998</v>
      </c>
      <c r="U11" s="39">
        <f>T11/T9</f>
        <v>2.9763737407625727E-2</v>
      </c>
      <c r="V11" s="26">
        <f>AVERAGE(B11,D11,F11,H11,J11,L11,N11,P11,R11,T11)</f>
        <v>184.23466666666664</v>
      </c>
      <c r="W11" s="39">
        <f>V11/V9</f>
        <v>3.1399056161352606E-2</v>
      </c>
    </row>
    <row r="12" spans="1:23" ht="19" customHeight="1">
      <c r="A12" s="24"/>
      <c r="B12" s="27"/>
      <c r="C12" s="27"/>
      <c r="D12" s="27"/>
      <c r="E12" s="27"/>
      <c r="F12" s="27"/>
      <c r="G12" s="27"/>
      <c r="H12" s="27"/>
      <c r="I12" s="27"/>
      <c r="J12" s="27"/>
      <c r="K12" s="27"/>
      <c r="L12" s="27"/>
      <c r="M12" s="27"/>
      <c r="N12" s="27"/>
      <c r="O12" s="27"/>
      <c r="P12" s="27"/>
      <c r="Q12" s="27"/>
      <c r="R12" s="27"/>
      <c r="S12" s="27"/>
      <c r="T12" s="27"/>
      <c r="U12" s="27"/>
      <c r="V12" s="21"/>
      <c r="W12" s="27"/>
    </row>
    <row r="13" spans="1:23" ht="19" customHeight="1">
      <c r="A13" s="56" t="s">
        <v>137</v>
      </c>
      <c r="B13" s="21">
        <f>B9-B11</f>
        <v>2665.5397391329047</v>
      </c>
      <c r="C13" s="28">
        <f>B13/B9</f>
        <v>0.96860631016149346</v>
      </c>
      <c r="D13" s="27">
        <f>D9-D11</f>
        <v>5022.3588506869301</v>
      </c>
      <c r="E13" s="28">
        <f>D13/D9</f>
        <v>0.9624612015637759</v>
      </c>
      <c r="F13" s="21">
        <f>F9-F11</f>
        <v>5796.6195172852094</v>
      </c>
      <c r="G13" s="28">
        <f>F13/F9</f>
        <v>0.96746638335380442</v>
      </c>
      <c r="H13" s="21">
        <f>H9-H11</f>
        <v>5863.9728220996549</v>
      </c>
      <c r="I13" s="28">
        <f>H13/H9</f>
        <v>0.96781313235944411</v>
      </c>
      <c r="J13" s="21">
        <f>J9-J11</f>
        <v>6053.0552242493577</v>
      </c>
      <c r="K13" s="28">
        <f>J13/J9</f>
        <v>0.96878718757368509</v>
      </c>
      <c r="L13" s="21">
        <f>L9-L11</f>
        <v>6176.6227262038919</v>
      </c>
      <c r="M13" s="28">
        <f>L13/L9</f>
        <v>0.96939250859154968</v>
      </c>
      <c r="N13" s="21">
        <f>N9-N11</f>
        <v>6255.2222133907071</v>
      </c>
      <c r="O13" s="28">
        <f>N13/N9</f>
        <v>0.9697654764661181</v>
      </c>
      <c r="P13" s="21">
        <f>P9-P11</f>
        <v>6305.2182017234918</v>
      </c>
      <c r="Q13" s="28">
        <f>P13/P9</f>
        <v>0.96999802254195988</v>
      </c>
      <c r="R13" s="21">
        <f>R9-R11</f>
        <v>6337.0199212872685</v>
      </c>
      <c r="S13" s="28">
        <f>R13/R9</f>
        <v>0.97014408938860741</v>
      </c>
      <c r="T13" s="21">
        <f>T9-T11</f>
        <v>6357.2485316405928</v>
      </c>
      <c r="U13" s="28">
        <f>T13/T9</f>
        <v>0.97023626259237439</v>
      </c>
      <c r="V13" s="21">
        <f>V9-V11</f>
        <v>5683.2877747700004</v>
      </c>
      <c r="W13" s="28">
        <f>V13/V9</f>
        <v>0.96860094383864748</v>
      </c>
    </row>
    <row r="14" spans="1:23" ht="19" customHeight="1">
      <c r="A14" s="29"/>
      <c r="B14" s="30"/>
      <c r="C14" s="30"/>
      <c r="D14" s="30"/>
      <c r="E14" s="30"/>
      <c r="F14" s="30"/>
      <c r="G14" s="30"/>
      <c r="H14" s="30"/>
      <c r="I14" s="30"/>
      <c r="J14" s="30"/>
      <c r="K14" s="30"/>
      <c r="L14" s="30"/>
      <c r="M14" s="30"/>
      <c r="N14" s="30"/>
      <c r="O14" s="30"/>
      <c r="P14" s="30"/>
      <c r="Q14" s="30"/>
      <c r="R14" s="30"/>
      <c r="S14" s="30"/>
      <c r="T14" s="30"/>
      <c r="U14" s="30"/>
      <c r="V14" s="31"/>
      <c r="W14" s="30"/>
    </row>
    <row r="15" spans="1:23" ht="19" customHeight="1">
      <c r="A15" s="56" t="s">
        <v>40</v>
      </c>
      <c r="B15" s="21">
        <f>SUM(B16:B27)</f>
        <v>2808.3065053626156</v>
      </c>
      <c r="C15" s="28">
        <f t="shared" ref="C15:C26" si="1">B15/$B$15</f>
        <v>1</v>
      </c>
      <c r="D15" s="21">
        <f>SUM(D16:D27)</f>
        <v>3125.3029754157651</v>
      </c>
      <c r="E15" s="28">
        <f t="shared" ref="E15:E27" si="2">D15/$D$15</f>
        <v>1</v>
      </c>
      <c r="F15" s="21">
        <f>SUM(F16:F27)</f>
        <v>3033.9508004075583</v>
      </c>
      <c r="G15" s="28">
        <f t="shared" ref="G15:G27" si="3">F15/$F$15</f>
        <v>1</v>
      </c>
      <c r="H15" s="21">
        <f>SUM(H16:H27)</f>
        <v>3017.0220625686252</v>
      </c>
      <c r="I15" s="28">
        <f t="shared" ref="I15:I27" si="4">H15/$H$15</f>
        <v>1</v>
      </c>
      <c r="J15" s="21">
        <f>SUM(J16:J27)</f>
        <v>3057.1884996890894</v>
      </c>
      <c r="K15" s="28">
        <f t="shared" ref="K15:K27" si="5">J15/$J$15</f>
        <v>1</v>
      </c>
      <c r="L15" s="21">
        <f>SUM(L16:L27)</f>
        <v>2622.3669762292589</v>
      </c>
      <c r="M15" s="28">
        <f>L15/$L$15</f>
        <v>1</v>
      </c>
      <c r="N15" s="21">
        <f>SUM(N16:N27)</f>
        <v>2557.4668098125826</v>
      </c>
      <c r="O15" s="28">
        <f>N15/$N$15</f>
        <v>1</v>
      </c>
      <c r="P15" s="21">
        <f>SUM(P16:P27)</f>
        <v>2583.6976182894682</v>
      </c>
      <c r="Q15" s="28">
        <f>P15/$P$15</f>
        <v>1</v>
      </c>
      <c r="R15" s="21">
        <f>SUM(R16:R27)</f>
        <v>2608.7566790079204</v>
      </c>
      <c r="S15" s="28">
        <f>R15/$R$15</f>
        <v>1</v>
      </c>
      <c r="T15" s="21">
        <f>SUM(T16:T27)</f>
        <v>2633.4891093396586</v>
      </c>
      <c r="U15" s="28">
        <f>T15/$T$15</f>
        <v>1</v>
      </c>
      <c r="V15" s="21">
        <f>SUM(V16:V27)</f>
        <v>2804.7548036122544</v>
      </c>
      <c r="W15" s="28">
        <f>V15/$V$15</f>
        <v>1</v>
      </c>
    </row>
    <row r="16" spans="1:23" ht="19" customHeight="1">
      <c r="A16" s="22" t="s">
        <v>179</v>
      </c>
      <c r="B16" s="32">
        <f>(('損益計算｜詳細'!O30)/1000)/12</f>
        <v>628.49787000000003</v>
      </c>
      <c r="C16" s="33">
        <f t="shared" si="1"/>
        <v>0.22379959908216884</v>
      </c>
      <c r="D16" s="32">
        <f>(('損益計算｜詳細'!AB30)/1000)/12</f>
        <v>733.38018</v>
      </c>
      <c r="E16" s="33">
        <f t="shared" si="2"/>
        <v>0.2346589069184363</v>
      </c>
      <c r="F16" s="32">
        <f>(('損益計算｜詳細'!AO30)/1000)/12</f>
        <v>749.23192499999993</v>
      </c>
      <c r="G16" s="33">
        <f t="shared" si="3"/>
        <v>0.2469492665798515</v>
      </c>
      <c r="H16" s="222">
        <f>(('損益計算｜詳細'!BB30)/1000)/12</f>
        <v>765.87625724999998</v>
      </c>
      <c r="I16" s="33">
        <f t="shared" si="4"/>
        <v>0.25385172576363263</v>
      </c>
      <c r="J16" s="222">
        <f>(('損益計算｜詳細'!BO30)/1000)/12</f>
        <v>783.35280611249993</v>
      </c>
      <c r="K16" s="33">
        <f t="shared" si="5"/>
        <v>0.25623307368589326</v>
      </c>
      <c r="L16" s="222">
        <f>(('損益計算｜詳細'!CB30)/1000)/12</f>
        <v>801.70318241812504</v>
      </c>
      <c r="M16" s="33">
        <f t="shared" ref="M16:M27" si="6">L16/$L$15</f>
        <v>0.30571738802587661</v>
      </c>
      <c r="N16" s="222">
        <f>(('損益計算｜詳細'!CO30)/1000)/12</f>
        <v>820.9710775390314</v>
      </c>
      <c r="O16" s="33">
        <f t="shared" ref="O16:O27" si="7">N16/$N$15</f>
        <v>0.32100947484014236</v>
      </c>
      <c r="P16" s="222">
        <f>(('損益計算｜詳細'!DB30)/1000)/12</f>
        <v>841.20236741598262</v>
      </c>
      <c r="Q16" s="33">
        <f t="shared" ref="Q16:Q27" si="8">P16/$P$15</f>
        <v>0.32558081157070501</v>
      </c>
      <c r="R16" s="222">
        <f>(('損益計算｜詳細'!DO30)/1000)/12</f>
        <v>862.44522178678199</v>
      </c>
      <c r="S16" s="33">
        <f t="shared" ref="S16:S27" si="9">R16/$R$15</f>
        <v>0.33059626784156804</v>
      </c>
      <c r="T16" s="222">
        <f>(('損益計算｜詳細'!EB30)/1000)/12</f>
        <v>884.75021887612093</v>
      </c>
      <c r="U16" s="33">
        <f t="shared" ref="U16:U27" si="10">T16/$T$15</f>
        <v>0.33596122184001359</v>
      </c>
      <c r="V16" s="34">
        <f>AVERAGE(B16,D16,F16,H16,J16,L16,N16,P16,R16,T16)</f>
        <v>787.14111063985422</v>
      </c>
      <c r="W16" s="33">
        <f t="shared" ref="W16:W27" si="11">V16/$V$15</f>
        <v>0.28064524914124123</v>
      </c>
    </row>
    <row r="17" spans="1:23" ht="19" customHeight="1">
      <c r="A17" s="35" t="s">
        <v>180</v>
      </c>
      <c r="B17" s="36">
        <f>(('損益計算｜詳細'!O36)/1000)/12</f>
        <v>600</v>
      </c>
      <c r="C17" s="37">
        <f t="shared" si="1"/>
        <v>0.21365189264571621</v>
      </c>
      <c r="D17" s="36">
        <f>(('損益計算｜詳細'!AB36)/1000)/12</f>
        <v>333.33333333333331</v>
      </c>
      <c r="E17" s="37">
        <f t="shared" si="2"/>
        <v>0.10665632610834773</v>
      </c>
      <c r="F17" s="36">
        <f>(('損益計算｜詳細'!AO36)/1000)/12</f>
        <v>133.33333333333334</v>
      </c>
      <c r="G17" s="37">
        <f t="shared" si="3"/>
        <v>4.3947098059540828E-2</v>
      </c>
      <c r="H17" s="223">
        <f>(('損益計算｜詳細'!BB36)/1000)/12</f>
        <v>91.666666666666671</v>
      </c>
      <c r="I17" s="37">
        <f t="shared" si="4"/>
        <v>3.0383160867117995E-2</v>
      </c>
      <c r="J17" s="223">
        <f>(('損益計算｜詳細'!BO36)/1000)/12</f>
        <v>91.666666666666671</v>
      </c>
      <c r="K17" s="37">
        <f t="shared" si="5"/>
        <v>2.998397602110207E-2</v>
      </c>
      <c r="L17" s="223">
        <f>(('損益計算｜詳細'!CB36)/1000)/12</f>
        <v>91.666666666666671</v>
      </c>
      <c r="M17" s="37">
        <f t="shared" si="6"/>
        <v>3.4955697466292672E-2</v>
      </c>
      <c r="N17" s="223">
        <f>(('損益計算｜詳細'!CO36)/1000)/12</f>
        <v>91.666666666666671</v>
      </c>
      <c r="O17" s="37">
        <f t="shared" si="7"/>
        <v>3.5842759059455491E-2</v>
      </c>
      <c r="P17" s="223">
        <f>(('損益計算｜詳細'!DB36)/1000)/12</f>
        <v>91.666666666666671</v>
      </c>
      <c r="Q17" s="37">
        <f t="shared" si="8"/>
        <v>3.5478867967279545E-2</v>
      </c>
      <c r="R17" s="223">
        <f>(('損益計算｜詳細'!DO36)/1000)/12</f>
        <v>91.666666666666671</v>
      </c>
      <c r="S17" s="37">
        <f t="shared" si="9"/>
        <v>3.5138066882315154E-2</v>
      </c>
      <c r="T17" s="223">
        <f>(('損益計算｜詳細'!EB36)/1000)/12</f>
        <v>91.666666666666671</v>
      </c>
      <c r="U17" s="37">
        <f t="shared" si="10"/>
        <v>3.4808067495540877E-2</v>
      </c>
      <c r="V17" s="38">
        <f t="shared" ref="V17:V27" si="12">AVERAGE(B17,D17,F17,H17,J17,L17,N17,P17,R17,T17)</f>
        <v>170.83333333333337</v>
      </c>
      <c r="W17" s="37">
        <f t="shared" si="11"/>
        <v>6.0908473394293318E-2</v>
      </c>
    </row>
    <row r="18" spans="1:23" ht="19" customHeight="1">
      <c r="A18" s="35" t="s">
        <v>181</v>
      </c>
      <c r="B18" s="36">
        <f>(('損益計算｜詳細'!O41)/1000)/12</f>
        <v>440</v>
      </c>
      <c r="C18" s="37">
        <f t="shared" si="1"/>
        <v>0.15667805460685855</v>
      </c>
      <c r="D18" s="36">
        <f>(('損益計算｜詳細'!AB41)/1000)/12</f>
        <v>480</v>
      </c>
      <c r="E18" s="37">
        <f t="shared" si="2"/>
        <v>0.15358510959602073</v>
      </c>
      <c r="F18" s="36">
        <f>(('損益計算｜詳細'!AO41)/1000)/12</f>
        <v>480</v>
      </c>
      <c r="G18" s="37">
        <f t="shared" si="3"/>
        <v>0.15820955301434697</v>
      </c>
      <c r="H18" s="223">
        <f>(('損益計算｜詳細'!BB41)/1000)/12</f>
        <v>480</v>
      </c>
      <c r="I18" s="37">
        <f t="shared" si="4"/>
        <v>0.15909727872236332</v>
      </c>
      <c r="J18" s="223">
        <f>(('損益計算｜詳細'!BO41)/1000)/12</f>
        <v>480</v>
      </c>
      <c r="K18" s="37">
        <f t="shared" si="5"/>
        <v>0.15700700171049811</v>
      </c>
      <c r="L18" s="223">
        <f>(('損益計算｜詳細'!CB41)/1000)/12</f>
        <v>480</v>
      </c>
      <c r="M18" s="37">
        <f t="shared" si="6"/>
        <v>0.18304074309622342</v>
      </c>
      <c r="N18" s="223">
        <f>(('損益計算｜詳細'!CO41)/1000)/12</f>
        <v>480</v>
      </c>
      <c r="O18" s="37">
        <f t="shared" si="7"/>
        <v>0.18768572016587601</v>
      </c>
      <c r="P18" s="223">
        <f>(('損益計算｜詳細'!DB41)/1000)/12</f>
        <v>480</v>
      </c>
      <c r="Q18" s="37">
        <f t="shared" si="8"/>
        <v>0.18578025408320925</v>
      </c>
      <c r="R18" s="223">
        <f>(('損益計算｜詳細'!DO41)/1000)/12</f>
        <v>480</v>
      </c>
      <c r="S18" s="37">
        <f>R18/$R$15</f>
        <v>0.18399569567466842</v>
      </c>
      <c r="T18" s="223">
        <f>(('損益計算｜詳細'!EB41)/1000)/12</f>
        <v>480</v>
      </c>
      <c r="U18" s="37">
        <f t="shared" si="10"/>
        <v>0.18226769888574132</v>
      </c>
      <c r="V18" s="38">
        <f t="shared" si="12"/>
        <v>476</v>
      </c>
      <c r="W18" s="37">
        <f t="shared" si="11"/>
        <v>0.16971180489180651</v>
      </c>
    </row>
    <row r="19" spans="1:23" ht="19" customHeight="1">
      <c r="A19" s="35" t="s">
        <v>266</v>
      </c>
      <c r="B19" s="36">
        <f>('損益計算｜詳細'!O42/1000)/12</f>
        <v>0</v>
      </c>
      <c r="C19" s="37">
        <f t="shared" si="1"/>
        <v>0</v>
      </c>
      <c r="D19" s="36">
        <f>('損益計算｜詳細'!AB42/1000)/12</f>
        <v>0</v>
      </c>
      <c r="E19" s="37">
        <f t="shared" si="2"/>
        <v>0</v>
      </c>
      <c r="F19" s="36">
        <f>('損益計算｜詳細'!AO42/1000)/12</f>
        <v>0</v>
      </c>
      <c r="G19" s="37">
        <f t="shared" si="3"/>
        <v>0</v>
      </c>
      <c r="H19" s="223">
        <f>('損益計算｜詳細'!BB42/1000)/12</f>
        <v>0</v>
      </c>
      <c r="I19" s="37">
        <f t="shared" si="4"/>
        <v>0</v>
      </c>
      <c r="J19" s="223">
        <f>('損益計算｜詳細'!BO42/1000)/12</f>
        <v>0</v>
      </c>
      <c r="K19" s="37">
        <f t="shared" si="5"/>
        <v>0</v>
      </c>
      <c r="L19" s="223">
        <f>('損益計算｜詳細'!CB42/1000)/12</f>
        <v>0</v>
      </c>
      <c r="M19" s="37">
        <f t="shared" si="6"/>
        <v>0</v>
      </c>
      <c r="N19" s="223">
        <f>('損益計算｜詳細'!CO42/1000)/12</f>
        <v>0</v>
      </c>
      <c r="O19" s="37">
        <f t="shared" si="7"/>
        <v>0</v>
      </c>
      <c r="P19" s="223">
        <f>('損益計算｜詳細'!DB42/1000)/12</f>
        <v>0</v>
      </c>
      <c r="Q19" s="37">
        <f t="shared" si="8"/>
        <v>0</v>
      </c>
      <c r="R19" s="223">
        <f>('損益計算｜詳細'!DO42/1000)/12</f>
        <v>0</v>
      </c>
      <c r="S19" s="37">
        <f>R19/$R$15</f>
        <v>0</v>
      </c>
      <c r="T19" s="223">
        <f>('損益計算｜詳細'!EB42/1000)/12</f>
        <v>0</v>
      </c>
      <c r="U19" s="37">
        <f t="shared" si="10"/>
        <v>0</v>
      </c>
      <c r="V19" s="38">
        <f t="shared" si="12"/>
        <v>0</v>
      </c>
      <c r="W19" s="37">
        <f t="shared" si="11"/>
        <v>0</v>
      </c>
    </row>
    <row r="20" spans="1:23" ht="19" customHeight="1">
      <c r="A20" s="35" t="s">
        <v>182</v>
      </c>
      <c r="B20" s="36">
        <f>(('損益計算｜詳細'!O43)/1000)/12</f>
        <v>128.75</v>
      </c>
      <c r="C20" s="37">
        <f t="shared" si="1"/>
        <v>4.584613529689327E-2</v>
      </c>
      <c r="D20" s="36">
        <f>(('損益計算｜詳細'!AB43)/1000)/12</f>
        <v>150</v>
      </c>
      <c r="E20" s="37">
        <f t="shared" si="2"/>
        <v>4.7995346748756482E-2</v>
      </c>
      <c r="F20" s="36">
        <f>(('損益計算｜詳細'!AO43)/1000)/12</f>
        <v>150</v>
      </c>
      <c r="G20" s="37">
        <f t="shared" si="3"/>
        <v>4.9440485316983425E-2</v>
      </c>
      <c r="H20" s="223">
        <f>(('損益計算｜詳細'!BB43)/1000)/12</f>
        <v>150</v>
      </c>
      <c r="I20" s="37">
        <f t="shared" si="4"/>
        <v>4.9717899600738531E-2</v>
      </c>
      <c r="J20" s="223">
        <f>(('損益計算｜詳細'!BO43)/1000)/12</f>
        <v>150</v>
      </c>
      <c r="K20" s="37">
        <f t="shared" si="5"/>
        <v>4.9064688034530658E-2</v>
      </c>
      <c r="L20" s="223">
        <f>(('損益計算｜詳細'!CB43)/1000)/12</f>
        <v>150</v>
      </c>
      <c r="M20" s="37">
        <f t="shared" si="6"/>
        <v>5.720023221756982E-2</v>
      </c>
      <c r="N20" s="223">
        <f>(('損益計算｜詳細'!CO43)/1000)/12</f>
        <v>150</v>
      </c>
      <c r="O20" s="37">
        <f t="shared" si="7"/>
        <v>5.8651787551836254E-2</v>
      </c>
      <c r="P20" s="223">
        <f>(('損益計算｜詳細'!DB43)/1000)/12</f>
        <v>150</v>
      </c>
      <c r="Q20" s="37">
        <f t="shared" si="8"/>
        <v>5.8056329401002894E-2</v>
      </c>
      <c r="R20" s="223">
        <f>(('損益計算｜詳細'!DO43)/1000)/12</f>
        <v>150</v>
      </c>
      <c r="S20" s="37">
        <f t="shared" si="9"/>
        <v>5.7498654898333883E-2</v>
      </c>
      <c r="T20" s="223">
        <f>(('損益計算｜詳細'!EB43)/1000)/12</f>
        <v>150</v>
      </c>
      <c r="U20" s="37">
        <f t="shared" si="10"/>
        <v>5.6958655901794164E-2</v>
      </c>
      <c r="V20" s="38">
        <f t="shared" si="12"/>
        <v>147.875</v>
      </c>
      <c r="W20" s="37">
        <f t="shared" si="11"/>
        <v>5.272296879910901E-2</v>
      </c>
    </row>
    <row r="21" spans="1:23" ht="19" customHeight="1">
      <c r="A21" s="35" t="s">
        <v>183</v>
      </c>
      <c r="B21" s="36">
        <f>(('損益計算｜詳細'!O44)/1000)/12</f>
        <v>58.333333333333336</v>
      </c>
      <c r="C21" s="37">
        <f t="shared" si="1"/>
        <v>2.0771711785000188E-2</v>
      </c>
      <c r="D21" s="36">
        <f>(('損益計算｜詳細'!AB44)/1000)/12</f>
        <v>70</v>
      </c>
      <c r="E21" s="37">
        <f t="shared" si="2"/>
        <v>2.2397828482753023E-2</v>
      </c>
      <c r="F21" s="36">
        <f>(('損益計算｜詳細'!AO44)/1000)/12</f>
        <v>70</v>
      </c>
      <c r="G21" s="37">
        <f t="shared" si="3"/>
        <v>2.3072226481258933E-2</v>
      </c>
      <c r="H21" s="223">
        <f>(('損益計算｜詳細'!BB44)/1000)/12</f>
        <v>70</v>
      </c>
      <c r="I21" s="37">
        <f t="shared" si="4"/>
        <v>2.3201686480344649E-2</v>
      </c>
      <c r="J21" s="223">
        <f>(('損益計算｜詳細'!BO44)/1000)/12</f>
        <v>70</v>
      </c>
      <c r="K21" s="37">
        <f t="shared" si="5"/>
        <v>2.2896854416114307E-2</v>
      </c>
      <c r="L21" s="223">
        <f>(('損益計算｜詳細'!CB44)/1000)/12</f>
        <v>70</v>
      </c>
      <c r="M21" s="37">
        <f t="shared" si="6"/>
        <v>2.6693441701532584E-2</v>
      </c>
      <c r="N21" s="223">
        <f>(('損益計算｜詳細'!CO44)/1000)/12</f>
        <v>70</v>
      </c>
      <c r="O21" s="37">
        <f t="shared" si="7"/>
        <v>2.7370834190856917E-2</v>
      </c>
      <c r="P21" s="223">
        <f>(('損益計算｜詳細'!DB44)/1000)/12</f>
        <v>70</v>
      </c>
      <c r="Q21" s="37">
        <f t="shared" si="8"/>
        <v>2.7092953720468015E-2</v>
      </c>
      <c r="R21" s="223">
        <f>(('損益計算｜詳細'!DO44)/1000)/12</f>
        <v>70</v>
      </c>
      <c r="S21" s="37">
        <f t="shared" si="9"/>
        <v>2.6832705619222481E-2</v>
      </c>
      <c r="T21" s="223">
        <f>(('損益計算｜詳細'!EB44)/1000)/12</f>
        <v>70</v>
      </c>
      <c r="U21" s="37">
        <f t="shared" si="10"/>
        <v>2.6580706087503944E-2</v>
      </c>
      <c r="V21" s="38">
        <f t="shared" si="12"/>
        <v>68.833333333333343</v>
      </c>
      <c r="W21" s="37">
        <f t="shared" si="11"/>
        <v>2.4541658060334769E-2</v>
      </c>
    </row>
    <row r="22" spans="1:23" ht="19" customHeight="1">
      <c r="A22" s="35" t="s">
        <v>184</v>
      </c>
      <c r="B22" s="36">
        <f>(('損益計算｜詳細'!O45)/1000)/12</f>
        <v>53.333333333333336</v>
      </c>
      <c r="C22" s="37">
        <f t="shared" si="1"/>
        <v>1.8991279346285885E-2</v>
      </c>
      <c r="D22" s="36">
        <f>(('損益計算｜詳細'!AB45)/1000)/12</f>
        <v>64</v>
      </c>
      <c r="E22" s="37">
        <f t="shared" si="2"/>
        <v>2.0478014612802766E-2</v>
      </c>
      <c r="F22" s="36">
        <f>(('損益計算｜詳細'!AO45)/1000)/12</f>
        <v>64</v>
      </c>
      <c r="G22" s="37">
        <f t="shared" si="3"/>
        <v>2.1094607068579595E-2</v>
      </c>
      <c r="H22" s="223">
        <f>(('損益計算｜詳細'!BB45)/1000)/12</f>
        <v>64</v>
      </c>
      <c r="I22" s="37">
        <f t="shared" si="4"/>
        <v>2.1212970496315108E-2</v>
      </c>
      <c r="J22" s="223">
        <f>(('損益計算｜詳細'!BO45)/1000)/12</f>
        <v>64</v>
      </c>
      <c r="K22" s="37">
        <f t="shared" si="5"/>
        <v>2.0934266894733079E-2</v>
      </c>
      <c r="L22" s="223">
        <f>(('損益計算｜詳細'!CB45)/1000)/12</f>
        <v>64</v>
      </c>
      <c r="M22" s="37">
        <f t="shared" si="6"/>
        <v>2.4405432412829789E-2</v>
      </c>
      <c r="N22" s="223">
        <f>(('損益計算｜詳細'!CO45)/1000)/12</f>
        <v>64</v>
      </c>
      <c r="O22" s="37">
        <f t="shared" si="7"/>
        <v>2.5024762688783467E-2</v>
      </c>
      <c r="P22" s="223">
        <f>(('損益計算｜詳細'!DB45)/1000)/12</f>
        <v>64</v>
      </c>
      <c r="Q22" s="37">
        <f t="shared" si="8"/>
        <v>2.4770700544427902E-2</v>
      </c>
      <c r="R22" s="223">
        <f>(('損益計算｜詳細'!DO45)/1000)/12</f>
        <v>64</v>
      </c>
      <c r="S22" s="37">
        <f t="shared" si="9"/>
        <v>2.4532759423289124E-2</v>
      </c>
      <c r="T22" s="223">
        <f>(('損益計算｜詳細'!EB45)/1000)/12</f>
        <v>64</v>
      </c>
      <c r="U22" s="37">
        <f t="shared" si="10"/>
        <v>2.4302359851432177E-2</v>
      </c>
      <c r="V22" s="38">
        <f t="shared" si="12"/>
        <v>62.933333333333337</v>
      </c>
      <c r="W22" s="37">
        <f t="shared" si="11"/>
        <v>2.2438087369448929E-2</v>
      </c>
    </row>
    <row r="23" spans="1:23" ht="19" customHeight="1">
      <c r="A23" s="35" t="s">
        <v>185</v>
      </c>
      <c r="B23" s="36">
        <f>(('損益計算｜詳細'!O48)/1000)/12</f>
        <v>41.666666666666664</v>
      </c>
      <c r="C23" s="37">
        <f t="shared" si="1"/>
        <v>1.4836936989285848E-2</v>
      </c>
      <c r="D23" s="36">
        <f>(('損益計算｜詳細'!AB48)/1000)/12</f>
        <v>50</v>
      </c>
      <c r="E23" s="37">
        <f t="shared" si="2"/>
        <v>1.5998448916252159E-2</v>
      </c>
      <c r="F23" s="36">
        <f>(('損益計算｜詳細'!AO48)/1000)/12</f>
        <v>50</v>
      </c>
      <c r="G23" s="37">
        <f t="shared" si="3"/>
        <v>1.6480161772327809E-2</v>
      </c>
      <c r="H23" s="223">
        <f>(('損益計算｜詳細'!BB48)/1000)/12</f>
        <v>50</v>
      </c>
      <c r="I23" s="37">
        <f t="shared" si="4"/>
        <v>1.6572633200246177E-2</v>
      </c>
      <c r="J23" s="223">
        <f>(('損益計算｜詳細'!BO48)/1000)/12</f>
        <v>50</v>
      </c>
      <c r="K23" s="37">
        <f t="shared" si="5"/>
        <v>1.6354896011510221E-2</v>
      </c>
      <c r="L23" s="223">
        <f>(('損益計算｜詳細'!CB48)/1000)/12</f>
        <v>50</v>
      </c>
      <c r="M23" s="37">
        <f t="shared" si="6"/>
        <v>1.9066744072523272E-2</v>
      </c>
      <c r="N23" s="223">
        <f>(('損益計算｜詳細'!CO48)/1000)/12</f>
        <v>50</v>
      </c>
      <c r="O23" s="37">
        <f t="shared" si="7"/>
        <v>1.9550595850612085E-2</v>
      </c>
      <c r="P23" s="223">
        <f>(('損益計算｜詳細'!DB48)/1000)/12</f>
        <v>50</v>
      </c>
      <c r="Q23" s="37">
        <f t="shared" si="8"/>
        <v>1.9352109800334298E-2</v>
      </c>
      <c r="R23" s="223">
        <f>(('損益計算｜詳細'!DO48)/1000)/12</f>
        <v>50</v>
      </c>
      <c r="S23" s="37">
        <f t="shared" si="9"/>
        <v>1.9166218299444628E-2</v>
      </c>
      <c r="T23" s="223">
        <f>(('損益計算｜詳細'!EB48)/1000)/12</f>
        <v>50</v>
      </c>
      <c r="U23" s="37">
        <f t="shared" si="10"/>
        <v>1.8986218633931389E-2</v>
      </c>
      <c r="V23" s="38">
        <f t="shared" si="12"/>
        <v>49.166666666666664</v>
      </c>
      <c r="W23" s="37">
        <f t="shared" si="11"/>
        <v>1.7529755757381974E-2</v>
      </c>
    </row>
    <row r="24" spans="1:23" ht="19" customHeight="1">
      <c r="A24" s="35" t="s">
        <v>186</v>
      </c>
      <c r="B24" s="36">
        <f>(('損益計算｜詳細'!O49)/1000)/12</f>
        <v>16.666666666666668</v>
      </c>
      <c r="C24" s="37">
        <f t="shared" si="1"/>
        <v>5.9347747957143393E-3</v>
      </c>
      <c r="D24" s="36">
        <f>(('損益計算｜詳細'!AB49)/1000)/12</f>
        <v>20</v>
      </c>
      <c r="E24" s="37">
        <f t="shared" si="2"/>
        <v>6.3993795665008646E-3</v>
      </c>
      <c r="F24" s="36">
        <f>(('損益計算｜詳細'!AO49)/1000)/12</f>
        <v>20</v>
      </c>
      <c r="G24" s="37">
        <f t="shared" si="3"/>
        <v>6.5920647089311238E-3</v>
      </c>
      <c r="H24" s="223">
        <f>(('損益計算｜詳細'!BB49)/1000)/12</f>
        <v>20</v>
      </c>
      <c r="I24" s="37">
        <f t="shared" si="4"/>
        <v>6.6290532800984715E-3</v>
      </c>
      <c r="J24" s="223">
        <f>(('損益計算｜詳細'!BO49)/1000)/12</f>
        <v>20</v>
      </c>
      <c r="K24" s="37">
        <f t="shared" si="5"/>
        <v>6.5419584046040877E-3</v>
      </c>
      <c r="L24" s="223">
        <f>(('損益計算｜詳細'!CB49)/1000)/12</f>
        <v>20</v>
      </c>
      <c r="M24" s="37">
        <f t="shared" si="6"/>
        <v>7.626697629009309E-3</v>
      </c>
      <c r="N24" s="223">
        <f>(('損益計算｜詳細'!CO49)/1000)/12</f>
        <v>20</v>
      </c>
      <c r="O24" s="37">
        <f t="shared" si="7"/>
        <v>7.8202383402448342E-3</v>
      </c>
      <c r="P24" s="223">
        <f>(('損益計算｜詳細'!DB49)/1000)/12</f>
        <v>20</v>
      </c>
      <c r="Q24" s="37">
        <f t="shared" si="8"/>
        <v>7.7408439201337191E-3</v>
      </c>
      <c r="R24" s="223">
        <f>(('損益計算｜詳細'!DO49)/1000)/12</f>
        <v>20</v>
      </c>
      <c r="S24" s="37">
        <f t="shared" si="9"/>
        <v>7.6664873197778514E-3</v>
      </c>
      <c r="T24" s="223">
        <f>(('損益計算｜詳細'!EB49)/1000)/12</f>
        <v>20</v>
      </c>
      <c r="U24" s="37">
        <f t="shared" si="10"/>
        <v>7.594487453572555E-3</v>
      </c>
      <c r="V24" s="38">
        <f t="shared" si="12"/>
        <v>19.666666666666668</v>
      </c>
      <c r="W24" s="37">
        <f t="shared" si="11"/>
        <v>7.0119023029527909E-3</v>
      </c>
    </row>
    <row r="25" spans="1:23" ht="19" customHeight="1">
      <c r="A25" s="35" t="s">
        <v>187</v>
      </c>
      <c r="B25" s="36">
        <f>(('損益計算｜詳細'!O50)/1000)/12</f>
        <v>110.07732289864953</v>
      </c>
      <c r="C25" s="37">
        <f t="shared" si="1"/>
        <v>3.9197047291116845E-2</v>
      </c>
      <c r="D25" s="36">
        <f>(('損益計算｜詳細'!AB50)/1000)/12</f>
        <v>208.72982069414388</v>
      </c>
      <c r="E25" s="37">
        <f t="shared" si="2"/>
        <v>6.6787067473474682E-2</v>
      </c>
      <c r="F25" s="36">
        <f>(('損益計算｜詳細'!AO50)/1000)/12</f>
        <v>239.66184735807505</v>
      </c>
      <c r="G25" s="37">
        <f t="shared" si="3"/>
        <v>7.8993320302320216E-2</v>
      </c>
      <c r="H25" s="223">
        <f>(('損益計算｜詳細'!BB50)/1000)/12</f>
        <v>242.35971288398619</v>
      </c>
      <c r="I25" s="37">
        <f t="shared" si="4"/>
        <v>8.0330772482865617E-2</v>
      </c>
      <c r="J25" s="223">
        <f>(('損益計算｜詳細'!BO50)/1000)/12</f>
        <v>249.92300896997426</v>
      </c>
      <c r="K25" s="37">
        <f t="shared" si="5"/>
        <v>8.1749296451753301E-2</v>
      </c>
      <c r="L25" s="223">
        <f>(('損益計算｜詳細'!CB50)/1000)/12</f>
        <v>254.86570904815574</v>
      </c>
      <c r="M25" s="37">
        <f t="shared" si="6"/>
        <v>9.7189184945667292E-2</v>
      </c>
      <c r="N25" s="223">
        <f>(('損益計算｜詳細'!CO50)/1000)/12</f>
        <v>258.00968853562824</v>
      </c>
      <c r="O25" s="37">
        <f t="shared" si="7"/>
        <v>0.10088486292204739</v>
      </c>
      <c r="P25" s="223">
        <f>(('損益計算｜詳細'!DB50)/1000)/12</f>
        <v>260.00952806893963</v>
      </c>
      <c r="Q25" s="37">
        <f t="shared" si="8"/>
        <v>0.10063465872646445</v>
      </c>
      <c r="R25" s="223">
        <f>(('損益計算｜詳細'!DO50)/1000)/12</f>
        <v>261.28159685149075</v>
      </c>
      <c r="S25" s="37">
        <f t="shared" si="9"/>
        <v>0.10015560245766311</v>
      </c>
      <c r="T25" s="223">
        <f>(('損益計算｜詳細'!EB50)/1000)/12</f>
        <v>262.09074126562365</v>
      </c>
      <c r="U25" s="37">
        <f t="shared" si="10"/>
        <v>9.9522242311965478E-2</v>
      </c>
      <c r="V25" s="38">
        <f>AVERAGE(B25,D25,F25,H25,J25,L25,N25,P25,R25,T25)</f>
        <v>234.7008976574667</v>
      </c>
      <c r="W25" s="37">
        <f t="shared" si="11"/>
        <v>8.367964905709209E-2</v>
      </c>
    </row>
    <row r="26" spans="1:23" ht="19" customHeight="1">
      <c r="A26" s="35" t="s">
        <v>188</v>
      </c>
      <c r="B26" s="36">
        <f>(('損益計算｜詳細'!O51)/1000)/12</f>
        <v>210.98131246396574</v>
      </c>
      <c r="C26" s="37">
        <f t="shared" si="1"/>
        <v>7.512759453467252E-2</v>
      </c>
      <c r="D26" s="36">
        <f>(('損益計算｜詳細'!AB51)/1000)/12</f>
        <v>391.8596413882878</v>
      </c>
      <c r="E26" s="37">
        <f t="shared" si="2"/>
        <v>0.12538292910182827</v>
      </c>
      <c r="F26" s="36">
        <f>(('損益計算｜詳細'!AO51)/1000)/12</f>
        <v>453.72369471615008</v>
      </c>
      <c r="G26" s="37">
        <f t="shared" si="3"/>
        <v>0.14954879777720859</v>
      </c>
      <c r="H26" s="223">
        <f>(('損益計算｜詳細'!BB51)/1000)/12</f>
        <v>459.11942576797242</v>
      </c>
      <c r="I26" s="37">
        <f t="shared" si="4"/>
        <v>0.1521763567672052</v>
      </c>
      <c r="J26" s="223">
        <f>(('損益計算｜詳細'!BO51)/1000)/12</f>
        <v>474.24601793994856</v>
      </c>
      <c r="K26" s="37">
        <f t="shared" si="5"/>
        <v>0.15512488614561337</v>
      </c>
      <c r="L26" s="223">
        <f>(('損益計算｜詳細'!CB51)/1000)/12</f>
        <v>484.13141809631151</v>
      </c>
      <c r="M26" s="37">
        <f t="shared" si="6"/>
        <v>0.18461619692620268</v>
      </c>
      <c r="N26" s="223">
        <f>(('損益計算｜詳細'!CO51)/1000)/12</f>
        <v>490.41937707125652</v>
      </c>
      <c r="O26" s="37">
        <f t="shared" si="7"/>
        <v>0.19175982076858142</v>
      </c>
      <c r="P26" s="223">
        <f>(('損益計算｜詳細'!DB51)/1000)/12</f>
        <v>494.41905613787918</v>
      </c>
      <c r="Q26" s="37">
        <f t="shared" si="8"/>
        <v>0.19136103723515768</v>
      </c>
      <c r="R26" s="223">
        <f>(('損益計算｜詳細'!DO51)/1000)/12</f>
        <v>496.96319370298147</v>
      </c>
      <c r="S26" s="37">
        <f t="shared" si="9"/>
        <v>0.19049810114601057</v>
      </c>
      <c r="T26" s="223">
        <f>(('損益計算｜詳細'!EB51)/1000)/12</f>
        <v>498.58148253124733</v>
      </c>
      <c r="U26" s="37">
        <f t="shared" si="10"/>
        <v>0.1893235406833581</v>
      </c>
      <c r="V26" s="38">
        <f t="shared" si="12"/>
        <v>445.44446198160006</v>
      </c>
      <c r="W26" s="37">
        <f t="shared" si="11"/>
        <v>0.15881761265117023</v>
      </c>
    </row>
    <row r="27" spans="1:23" ht="19" customHeight="1">
      <c r="A27" s="35" t="s">
        <v>203</v>
      </c>
      <c r="B27" s="221">
        <f>(('損益計算｜詳細'!O52)/1000)/12</f>
        <v>520</v>
      </c>
      <c r="C27" s="37">
        <f>B27/$B$15</f>
        <v>0.18516497362628739</v>
      </c>
      <c r="D27" s="220">
        <f>(('損益計算｜詳細'!AB52)/1000)/12</f>
        <v>624</v>
      </c>
      <c r="E27" s="37">
        <f t="shared" si="2"/>
        <v>0.19966064247482695</v>
      </c>
      <c r="F27" s="220">
        <f>(('損益計算｜詳細'!AO52)/1000)/12</f>
        <v>624</v>
      </c>
      <c r="G27" s="37">
        <f t="shared" si="3"/>
        <v>0.20567241891865107</v>
      </c>
      <c r="H27" s="223">
        <f>(('損益計算｜詳細'!BB52)/1000)/12</f>
        <v>624</v>
      </c>
      <c r="I27" s="37">
        <f t="shared" si="4"/>
        <v>0.20682646233907231</v>
      </c>
      <c r="J27" s="223">
        <f>(('損益計算｜詳細'!BO52)/1000)/12</f>
        <v>624</v>
      </c>
      <c r="K27" s="37">
        <f t="shared" si="5"/>
        <v>0.20410910222364753</v>
      </c>
      <c r="L27" s="223">
        <f>(('損益計算｜詳細'!CB52)/1000)/12</f>
        <v>156</v>
      </c>
      <c r="M27" s="37">
        <f t="shared" si="6"/>
        <v>5.9488241506272611E-2</v>
      </c>
      <c r="N27" s="223">
        <f>(('損益計算｜詳細'!CO52)/1000)/12</f>
        <v>62.4</v>
      </c>
      <c r="O27" s="37">
        <f t="shared" si="7"/>
        <v>2.4399143621563878E-2</v>
      </c>
      <c r="P27" s="223">
        <f>(('損益計算｜詳細'!DB52)/1000)/12</f>
        <v>62.4</v>
      </c>
      <c r="Q27" s="37">
        <f t="shared" si="8"/>
        <v>2.4151433030817203E-2</v>
      </c>
      <c r="R27" s="223">
        <f>(('損益計算｜詳細'!DO52)/1000)/12</f>
        <v>62.4</v>
      </c>
      <c r="S27" s="37">
        <f t="shared" si="9"/>
        <v>2.3919440437706895E-2</v>
      </c>
      <c r="T27" s="223">
        <f>(('損益計算｜詳細'!EB52)/1000)/12</f>
        <v>62.4</v>
      </c>
      <c r="U27" s="37">
        <f t="shared" si="10"/>
        <v>2.3694800855146372E-2</v>
      </c>
      <c r="V27" s="38">
        <f t="shared" si="12"/>
        <v>342.16</v>
      </c>
      <c r="W27" s="37">
        <f t="shared" si="11"/>
        <v>0.12199283857516915</v>
      </c>
    </row>
    <row r="28" spans="1:23" ht="19" customHeight="1">
      <c r="A28" s="24"/>
      <c r="B28" s="27"/>
      <c r="C28" s="28"/>
      <c r="D28" s="27"/>
      <c r="E28" s="28"/>
      <c r="F28" s="27"/>
      <c r="G28" s="28"/>
      <c r="H28" s="27"/>
      <c r="I28" s="28"/>
      <c r="J28" s="27"/>
      <c r="K28" s="28"/>
      <c r="L28" s="27"/>
      <c r="M28" s="28"/>
      <c r="N28" s="27"/>
      <c r="O28" s="28"/>
      <c r="P28" s="27"/>
      <c r="Q28" s="28"/>
      <c r="R28" s="27"/>
      <c r="S28" s="28"/>
      <c r="T28" s="27"/>
      <c r="U28" s="28"/>
      <c r="V28" s="21"/>
      <c r="W28" s="28"/>
    </row>
    <row r="29" spans="1:23" ht="19" customHeight="1">
      <c r="A29" s="58" t="s">
        <v>171</v>
      </c>
      <c r="B29" s="26">
        <f>B13-B15</f>
        <v>-142.76676622971081</v>
      </c>
      <c r="C29" s="39">
        <f>B29/B9</f>
        <v>-5.1878720328676284E-2</v>
      </c>
      <c r="D29" s="40">
        <f>D13-D15</f>
        <v>1897.055875271165</v>
      </c>
      <c r="E29" s="39">
        <f>D29/D9</f>
        <v>0.3635428553452284</v>
      </c>
      <c r="F29" s="26">
        <f>F13-F15</f>
        <v>2762.6687168776511</v>
      </c>
      <c r="G29" s="39">
        <f>F29/F9</f>
        <v>0.46109445409556421</v>
      </c>
      <c r="H29" s="26">
        <f>H13-H15</f>
        <v>2846.9507595310297</v>
      </c>
      <c r="I29" s="39">
        <f>H29/H9</f>
        <v>0.46987194788332182</v>
      </c>
      <c r="J29" s="26">
        <f>J13-J15</f>
        <v>2995.8667245602683</v>
      </c>
      <c r="K29" s="39">
        <f>J29/J9</f>
        <v>0.47948634051860201</v>
      </c>
      <c r="L29" s="26">
        <f>L13-L15</f>
        <v>3554.2557499746331</v>
      </c>
      <c r="M29" s="39">
        <f>L29/L9</f>
        <v>0.55782408127773253</v>
      </c>
      <c r="N29" s="26">
        <f>N13-N15</f>
        <v>3697.7554035781245</v>
      </c>
      <c r="O29" s="39">
        <f>N29/N9</f>
        <v>0.57327388356077269</v>
      </c>
      <c r="P29" s="26">
        <f>P13-P15</f>
        <v>3721.5205834340236</v>
      </c>
      <c r="Q29" s="39">
        <f>P29/P9</f>
        <v>0.57252064738908937</v>
      </c>
      <c r="R29" s="26">
        <f>R13-R15</f>
        <v>3728.2632422793481</v>
      </c>
      <c r="S29" s="39">
        <f>R29/R9</f>
        <v>0.57076553223891191</v>
      </c>
      <c r="T29" s="26">
        <f>T13-T15</f>
        <v>3723.7594223009341</v>
      </c>
      <c r="U29" s="39">
        <f>T29/T9</f>
        <v>0.56831605791476303</v>
      </c>
      <c r="V29" s="26">
        <f>V13-V15</f>
        <v>2878.532971157746</v>
      </c>
      <c r="W29" s="39">
        <f>V29/V9</f>
        <v>0.49058746683769572</v>
      </c>
    </row>
    <row r="30" spans="1:23" ht="19" customHeight="1">
      <c r="A30" s="24"/>
      <c r="B30" s="27"/>
      <c r="C30" s="28"/>
      <c r="D30" s="27"/>
      <c r="E30" s="28"/>
      <c r="F30" s="27"/>
      <c r="G30" s="28"/>
      <c r="H30" s="27"/>
      <c r="I30" s="28"/>
      <c r="J30" s="27"/>
      <c r="K30" s="28"/>
      <c r="L30" s="27"/>
      <c r="M30" s="28"/>
      <c r="N30" s="27"/>
      <c r="O30" s="28"/>
      <c r="P30" s="27"/>
      <c r="Q30" s="28"/>
      <c r="R30" s="27"/>
      <c r="S30" s="28"/>
      <c r="T30" s="27"/>
      <c r="U30" s="28"/>
      <c r="V30" s="21"/>
      <c r="W30" s="28"/>
    </row>
    <row r="31" spans="1:23" ht="19" customHeight="1">
      <c r="A31" s="58" t="s">
        <v>176</v>
      </c>
      <c r="B31" s="40">
        <f>('損益計算｜詳細'!O55/1000)/12</f>
        <v>108.33333333333333</v>
      </c>
      <c r="C31" s="39"/>
      <c r="D31" s="40">
        <f>(('損益計算｜詳細'!AB55)/1000)/12</f>
        <v>130</v>
      </c>
      <c r="E31" s="39"/>
      <c r="F31" s="40">
        <f>(('損益計算｜詳細'!AO55)/1000)/12</f>
        <v>130</v>
      </c>
      <c r="G31" s="39"/>
      <c r="H31" s="218">
        <f>(('損益計算｜詳細'!BB55)/1000)/12</f>
        <v>130</v>
      </c>
      <c r="I31" s="39"/>
      <c r="J31" s="218">
        <f>(('損益計算｜詳細'!BO55)/1000)/12</f>
        <v>130</v>
      </c>
      <c r="K31" s="39"/>
      <c r="L31" s="218">
        <f>(('損益計算｜詳細'!CB55)/1000)/12</f>
        <v>88.333333333333329</v>
      </c>
      <c r="M31" s="39"/>
      <c r="N31" s="218">
        <f>(('損益計算｜詳細'!CO55)/1000)/12</f>
        <v>80</v>
      </c>
      <c r="O31" s="39"/>
      <c r="P31" s="218">
        <f>(('損益計算｜詳細'!DB55)/1000)/12</f>
        <v>80</v>
      </c>
      <c r="Q31" s="39"/>
      <c r="R31" s="218">
        <f>(('損益計算｜詳細'!DO55)/1000)/12</f>
        <v>80</v>
      </c>
      <c r="S31" s="39"/>
      <c r="T31" s="218">
        <f>(('損益計算｜詳細'!EB55)/1000)/12</f>
        <v>80</v>
      </c>
      <c r="U31" s="39"/>
      <c r="V31" s="26">
        <f>AVERAGE(B31,D31,F31,H31,J31,L31,N31,P31,R31,T31)</f>
        <v>103.66666666666666</v>
      </c>
      <c r="W31" s="39"/>
    </row>
    <row r="32" spans="1:23" ht="19" customHeight="1">
      <c r="A32" s="24"/>
      <c r="B32" s="27"/>
      <c r="C32" s="28"/>
      <c r="D32" s="27"/>
      <c r="E32" s="28"/>
      <c r="F32" s="27"/>
      <c r="G32" s="28"/>
      <c r="H32" s="27"/>
      <c r="I32" s="28"/>
      <c r="J32" s="27"/>
      <c r="K32" s="28"/>
      <c r="L32" s="27"/>
      <c r="M32" s="28"/>
      <c r="N32" s="27"/>
      <c r="O32" s="28"/>
      <c r="P32" s="27"/>
      <c r="Q32" s="28"/>
      <c r="R32" s="27"/>
      <c r="S32" s="28"/>
      <c r="T32" s="27"/>
      <c r="U32" s="28"/>
      <c r="V32" s="21"/>
      <c r="W32" s="28"/>
    </row>
    <row r="33" spans="1:23" ht="19" customHeight="1">
      <c r="A33" s="58" t="s">
        <v>172</v>
      </c>
      <c r="B33" s="26">
        <f>B29-B31</f>
        <v>-251.10009956304413</v>
      </c>
      <c r="C33" s="39">
        <f>B33/B9</f>
        <v>-9.1244987777995723E-2</v>
      </c>
      <c r="D33" s="40">
        <f>D29-D31</f>
        <v>1767.055875271165</v>
      </c>
      <c r="E33" s="39">
        <f>D33/D9</f>
        <v>0.33863026747107089</v>
      </c>
      <c r="F33" s="26">
        <f>F29-F31</f>
        <v>2632.6687168776511</v>
      </c>
      <c r="G33" s="39">
        <f>F33/F9</f>
        <v>0.43939721668659626</v>
      </c>
      <c r="H33" s="26">
        <f>H29-H31</f>
        <v>2716.9507595310297</v>
      </c>
      <c r="I33" s="39">
        <f>H33/H9</f>
        <v>0.44841623670871267</v>
      </c>
      <c r="J33" s="26">
        <f>J29-J31</f>
        <v>2865.8667245602683</v>
      </c>
      <c r="K33" s="39">
        <f>J33/J9</f>
        <v>0.45867993289158465</v>
      </c>
      <c r="L33" s="26">
        <f>L29-L31</f>
        <v>3465.9224166412996</v>
      </c>
      <c r="M33" s="39">
        <f>L33/L9</f>
        <v>0.54396057117066765</v>
      </c>
      <c r="N33" s="26">
        <f>N29-N31</f>
        <v>3617.7554035781245</v>
      </c>
      <c r="O33" s="39">
        <f>N33/N9</f>
        <v>0.56087124853508019</v>
      </c>
      <c r="P33" s="26">
        <f>P29-P31</f>
        <v>3641.5205834340236</v>
      </c>
      <c r="Q33" s="39">
        <f>P33/P9</f>
        <v>0.56021340609771819</v>
      </c>
      <c r="R33" s="26">
        <f>R29-R31</f>
        <v>3648.2632422793481</v>
      </c>
      <c r="S33" s="39">
        <f>R33/R9</f>
        <v>0.55851820966219456</v>
      </c>
      <c r="T33" s="26">
        <f>T29-T31</f>
        <v>3643.7594223009341</v>
      </c>
      <c r="U33" s="39">
        <f>T33/T9</f>
        <v>0.55610654610771726</v>
      </c>
      <c r="V33" s="26">
        <f>V29-V31</f>
        <v>2774.8663044910795</v>
      </c>
      <c r="W33" s="39">
        <f>V33/V9</f>
        <v>0.47291958951786328</v>
      </c>
    </row>
    <row r="34" spans="1:23" ht="19" customHeight="1">
      <c r="A34" s="19"/>
      <c r="B34" s="21"/>
      <c r="C34" s="41"/>
      <c r="D34" s="21"/>
      <c r="E34" s="21"/>
      <c r="F34" s="21"/>
      <c r="G34" s="21"/>
      <c r="H34" s="21"/>
      <c r="I34" s="21"/>
      <c r="J34" s="21"/>
      <c r="K34" s="21"/>
      <c r="L34" s="21"/>
      <c r="M34" s="21"/>
      <c r="N34" s="21"/>
      <c r="O34" s="21"/>
      <c r="P34" s="21"/>
      <c r="Q34" s="21"/>
      <c r="R34" s="21"/>
      <c r="S34" s="21"/>
      <c r="T34" s="21"/>
      <c r="U34" s="21"/>
      <c r="V34" s="21"/>
      <c r="W34" s="28"/>
    </row>
    <row r="35" spans="1:23" ht="19" customHeight="1">
      <c r="A35" s="58" t="s">
        <v>173</v>
      </c>
      <c r="B35" s="26">
        <f>('損益計算｜詳細'!O62/1000)/12</f>
        <v>-353.87361998286855</v>
      </c>
      <c r="C35" s="39">
        <f>B35/B9</f>
        <v>-0.12859092523850252</v>
      </c>
      <c r="D35" s="219">
        <f>('損益計算｜詳細'!AB62/1000)/12</f>
        <v>1732.4673774577714</v>
      </c>
      <c r="E35" s="39">
        <f>D35/D9</f>
        <v>0.33200189061559954</v>
      </c>
      <c r="F35" s="219">
        <f>('損益計算｜詳細'!AO62/1000)/12</f>
        <v>2602.3289234779836</v>
      </c>
      <c r="G35" s="39">
        <f>F35/F9</f>
        <v>0.43433344976096833</v>
      </c>
      <c r="H35" s="218">
        <f>('損益計算｜詳細'!BB62/1000)/12</f>
        <v>2690.945427906162</v>
      </c>
      <c r="I35" s="39">
        <f>H35/H9</f>
        <v>0.44412421452145812</v>
      </c>
      <c r="J35" s="218">
        <f>('損益計算｜詳細'!BO62/1000)/12</f>
        <v>2844.2833430283495</v>
      </c>
      <c r="K35" s="39">
        <f>J35/J9</f>
        <v>0.45522552801371896</v>
      </c>
      <c r="L35" s="218">
        <f>('損益計算｜詳細'!CB62/1000)/12</f>
        <v>3448.8502394158131</v>
      </c>
      <c r="M35" s="39">
        <f>L35/L9</f>
        <v>0.54128117153087374</v>
      </c>
      <c r="N35" s="218">
        <f>('損益計算｜詳細'!CO62/1000)/12</f>
        <v>3604.7994001409511</v>
      </c>
      <c r="O35" s="39">
        <f>N35/N9</f>
        <v>0.55886264125979412</v>
      </c>
      <c r="P35" s="218">
        <f>('損益計算｜詳細'!DB62/1000)/12</f>
        <v>3629.2405834340225</v>
      </c>
      <c r="Q35" s="39">
        <f>P35/P9</f>
        <v>0.55832424455949248</v>
      </c>
      <c r="R35" s="218">
        <f>('損益計算｜詳細'!DO62/1000)/12</f>
        <v>3635.9832422793484</v>
      </c>
      <c r="S35" s="39">
        <f>R35/R9</f>
        <v>0.55663824564666853</v>
      </c>
      <c r="T35" s="218">
        <f>('損益計算｜詳細'!EB62/1000)/12</f>
        <v>3631.4794223009335</v>
      </c>
      <c r="U35" s="39">
        <f>T35/T9</f>
        <v>0.55423238604533565</v>
      </c>
      <c r="V35" s="26">
        <f>AVERAGE(B35,D35,F35,H35,J35,L35,N35,P35,R35,T35)</f>
        <v>2746.650433945847</v>
      </c>
      <c r="W35" s="39">
        <f>V35/V9</f>
        <v>0.46811076759568865</v>
      </c>
    </row>
    <row r="36" spans="1:23" ht="19" customHeight="1">
      <c r="A36" s="19"/>
      <c r="B36" s="21"/>
      <c r="C36" s="28"/>
      <c r="D36" s="21"/>
      <c r="E36" s="28"/>
      <c r="F36" s="21"/>
      <c r="G36" s="28"/>
      <c r="H36" s="21"/>
      <c r="I36" s="28"/>
      <c r="J36" s="21"/>
      <c r="K36" s="28"/>
      <c r="L36" s="21"/>
      <c r="M36" s="28"/>
      <c r="N36" s="21"/>
      <c r="O36" s="28"/>
      <c r="P36" s="21"/>
      <c r="Q36" s="28"/>
      <c r="R36" s="21"/>
      <c r="S36" s="28"/>
      <c r="T36" s="21"/>
      <c r="U36" s="28"/>
      <c r="V36" s="21"/>
      <c r="W36" s="28"/>
    </row>
    <row r="37" spans="1:23" ht="19" customHeight="1">
      <c r="A37" s="58" t="s">
        <v>174</v>
      </c>
      <c r="B37" s="26">
        <f>('損益計算｜詳細'!O64/1000)/12</f>
        <v>-353.87361998286855</v>
      </c>
      <c r="C37" s="39">
        <f>B37/B9</f>
        <v>-0.12859092523850252</v>
      </c>
      <c r="D37" s="219">
        <f>('損益計算｜詳細'!AB64/1000)/12</f>
        <v>1212.7271642204403</v>
      </c>
      <c r="E37" s="39">
        <f>D37/D9</f>
        <v>0.23240132343091974</v>
      </c>
      <c r="F37" s="219">
        <f>('損益計算｜詳細'!AO64/1000)/12</f>
        <v>1821.6302464345888</v>
      </c>
      <c r="G37" s="39">
        <f>F37/F9</f>
        <v>0.30403341483267787</v>
      </c>
      <c r="H37" s="218">
        <f>('損益計算｜詳細'!BB64/1000)/12</f>
        <v>1883.6617995343138</v>
      </c>
      <c r="I37" s="39">
        <f>H37/H9</f>
        <v>0.31088695016502077</v>
      </c>
      <c r="J37" s="218">
        <f>('損益計算｜詳細'!BO64/1000)/12</f>
        <v>1990.9983401198442</v>
      </c>
      <c r="K37" s="39">
        <f>J37/J9</f>
        <v>0.31865786960960318</v>
      </c>
      <c r="L37" s="218">
        <f>('損益計算｜詳細'!CB64/1000)/12</f>
        <v>2414.1951675910691</v>
      </c>
      <c r="M37" s="39">
        <f>L37/L9</f>
        <v>0.37889682007161163</v>
      </c>
      <c r="N37" s="218">
        <f>('損益計算｜詳細'!CO64/1000)/12</f>
        <v>2523.3595800986659</v>
      </c>
      <c r="O37" s="39">
        <f>N37/N9</f>
        <v>0.39120384888185594</v>
      </c>
      <c r="P37" s="218">
        <f>('損益計算｜詳細'!DB64/1000)/12</f>
        <v>2540.4684084038158</v>
      </c>
      <c r="Q37" s="39">
        <f>P37/P9</f>
        <v>0.39082697119164478</v>
      </c>
      <c r="R37" s="218">
        <f>('損益計算｜詳細'!DO64/1000)/12</f>
        <v>2545.1882695955442</v>
      </c>
      <c r="S37" s="39">
        <f>R37/R9</f>
        <v>0.38964677195266806</v>
      </c>
      <c r="T37" s="218">
        <f>('損益計算｜詳細'!EB64/1000)/12</f>
        <v>2542.0355956106532</v>
      </c>
      <c r="U37" s="39">
        <f>T37/T9</f>
        <v>0.38796267023173492</v>
      </c>
      <c r="V37" s="26">
        <f t="shared" ref="V37:V39" si="13">AVERAGE(B37,D37,F37,H37,J37,L37,N37,P37,R37,T37)</f>
        <v>1912.0390951626068</v>
      </c>
      <c r="W37" s="39">
        <f>V37/V9</f>
        <v>0.3258682202320547</v>
      </c>
    </row>
    <row r="38" spans="1:23" ht="19" customHeight="1">
      <c r="A38" s="19"/>
      <c r="B38" s="21"/>
      <c r="C38" s="28"/>
      <c r="D38" s="21"/>
      <c r="E38" s="28"/>
      <c r="F38" s="21"/>
      <c r="G38" s="28"/>
      <c r="H38" s="21"/>
      <c r="I38" s="28"/>
      <c r="J38" s="21"/>
      <c r="K38" s="28"/>
      <c r="L38" s="21"/>
      <c r="M38" s="28"/>
      <c r="N38" s="21"/>
      <c r="O38" s="28"/>
      <c r="P38" s="21"/>
      <c r="Q38" s="28"/>
      <c r="R38" s="21"/>
      <c r="S38" s="28"/>
      <c r="T38" s="21"/>
      <c r="U38" s="28"/>
      <c r="V38" s="21"/>
      <c r="W38" s="28"/>
    </row>
    <row r="39" spans="1:23" ht="19" customHeight="1">
      <c r="A39" s="58" t="s">
        <v>175</v>
      </c>
      <c r="B39" s="26">
        <f>('損益計算｜詳細'!O66/1000)/12</f>
        <v>-457.55415210073829</v>
      </c>
      <c r="C39" s="39">
        <f>B39/B9</f>
        <v>-0.16626645345363927</v>
      </c>
      <c r="D39" s="219">
        <f>('損益計算｜詳細'!AB66/1000)/12</f>
        <v>1002.2322402917785</v>
      </c>
      <c r="E39" s="39">
        <f>D39/D9</f>
        <v>0.19206306735832829</v>
      </c>
      <c r="F39" s="219">
        <f>('損益計算｜詳細'!AO66/1000)/12</f>
        <v>1606.8866180922005</v>
      </c>
      <c r="G39" s="39">
        <f>F39/F9</f>
        <v>0.26819231109261649</v>
      </c>
      <c r="H39" s="218">
        <f>('損益計算｜詳細'!BB66/1000)/12</f>
        <v>1664.5837094171263</v>
      </c>
      <c r="I39" s="39">
        <f>H39/H9</f>
        <v>0.27472944073241029</v>
      </c>
      <c r="J39" s="218">
        <f>('損益計算｜詳細'!BO66/1000)/12</f>
        <v>1767.4982999097076</v>
      </c>
      <c r="K39" s="39">
        <f>J39/J9</f>
        <v>0.28288684698447342</v>
      </c>
      <c r="L39" s="218">
        <f>('損益計算｜詳細'!CB66/1000)/12</f>
        <v>2186.1839230745013</v>
      </c>
      <c r="M39" s="39">
        <f>L39/L9</f>
        <v>0.34311150468051893</v>
      </c>
      <c r="N39" s="218">
        <f>('損益計算｜詳細'!CO66/1000)/12</f>
        <v>2407.6338726648105</v>
      </c>
      <c r="O39" s="39">
        <f>N39/N9</f>
        <v>0.37326255247695367</v>
      </c>
      <c r="P39" s="218">
        <f>('損益計算｜詳細'!DB66/1000)/12</f>
        <v>2540.4684084038158</v>
      </c>
      <c r="Q39" s="39">
        <f>P39/P9</f>
        <v>0.39082697119164478</v>
      </c>
      <c r="R39" s="218">
        <f>('損益計算｜詳細'!DO66/1000)/12</f>
        <v>2545.1882695955442</v>
      </c>
      <c r="S39" s="39">
        <f>R39/R9</f>
        <v>0.38964677195266806</v>
      </c>
      <c r="T39" s="218">
        <f>('損益計算｜詳細'!EB66/1000)/12</f>
        <v>2542.0355956106532</v>
      </c>
      <c r="U39" s="39">
        <f>T39/T9</f>
        <v>0.38796267023173492</v>
      </c>
      <c r="V39" s="26">
        <f t="shared" si="13"/>
        <v>1780.5156784959399</v>
      </c>
      <c r="W39" s="39">
        <f>V39/V9</f>
        <v>0.30345272579136134</v>
      </c>
    </row>
    <row r="41" spans="1:23" ht="19" customHeight="1">
      <c r="A41" s="59" t="s">
        <v>221</v>
      </c>
      <c r="B41" s="42"/>
      <c r="C41" s="43">
        <f>'損益計算｜詳細'!O69</f>
        <v>-0.13952990976193677</v>
      </c>
      <c r="D41" s="42"/>
      <c r="E41" s="43">
        <f>'損益計算｜詳細'!AB69</f>
        <v>0.27775007780462874</v>
      </c>
      <c r="F41" s="42"/>
      <c r="G41" s="43">
        <f>'損益計算｜詳細'!AO69</f>
        <v>1.1806907687542345</v>
      </c>
      <c r="H41" s="42"/>
      <c r="I41" s="43">
        <f>'損益計算｜詳細'!BB69</f>
        <v>2.251076729340284</v>
      </c>
      <c r="J41" s="42"/>
      <c r="K41" s="43">
        <f>'損益計算｜詳細'!BO69</f>
        <v>3.3544525540635779</v>
      </c>
      <c r="L41" s="44"/>
      <c r="M41" s="45">
        <f>'損益計算｜詳細'!CB69</f>
        <v>4.5829040305053939</v>
      </c>
      <c r="N41" s="44"/>
      <c r="O41" s="45">
        <f>'損益計算｜詳細'!CO69</f>
        <v>5.9663408086464615</v>
      </c>
      <c r="P41" s="44"/>
      <c r="Q41" s="45">
        <f>'損益計算｜詳細'!DB69</f>
        <v>7.3644001640825048</v>
      </c>
      <c r="R41" s="44"/>
      <c r="S41" s="45">
        <f>'損益計算｜詳細'!DO69</f>
        <v>8.7677282730306647</v>
      </c>
      <c r="T41" s="44"/>
      <c r="U41" s="46">
        <f>'損益計算｜詳細'!EA69</f>
        <v>10.813391036010414</v>
      </c>
      <c r="V41" s="44"/>
      <c r="W41" s="47"/>
    </row>
    <row r="42" spans="1:23" ht="19" customHeight="1">
      <c r="A42" s="48"/>
      <c r="L42" s="14"/>
      <c r="M42" s="14"/>
      <c r="N42" s="14"/>
      <c r="O42" s="14"/>
      <c r="P42" s="14"/>
      <c r="Q42" s="14"/>
      <c r="R42" s="14"/>
      <c r="S42" s="14"/>
      <c r="T42" s="14"/>
      <c r="U42" s="14"/>
      <c r="W42" s="49"/>
    </row>
    <row r="43" spans="1:23" ht="19" customHeight="1">
      <c r="A43" s="48"/>
      <c r="L43" s="14"/>
      <c r="M43" s="14"/>
      <c r="N43" s="14"/>
      <c r="O43" s="14"/>
      <c r="P43" s="14"/>
      <c r="Q43" s="14"/>
      <c r="R43" s="14"/>
      <c r="S43" s="14"/>
      <c r="T43" s="14"/>
      <c r="U43" s="14"/>
      <c r="W43" s="49"/>
    </row>
    <row r="44" spans="1:23" ht="19" customHeight="1">
      <c r="A44" s="48"/>
      <c r="L44" s="14"/>
      <c r="M44" s="14"/>
      <c r="N44" s="14"/>
      <c r="O44" s="14"/>
      <c r="P44" s="14"/>
      <c r="Q44" s="14"/>
      <c r="R44" s="14"/>
      <c r="S44" s="14"/>
      <c r="T44" s="14"/>
      <c r="U44" s="14"/>
      <c r="W44" s="49"/>
    </row>
    <row r="45" spans="1:23" ht="19" customHeight="1">
      <c r="A45" s="48"/>
      <c r="L45" s="14"/>
      <c r="M45" s="14"/>
      <c r="N45" s="14"/>
      <c r="O45" s="14"/>
      <c r="P45" s="14"/>
      <c r="Q45" s="14"/>
      <c r="R45" s="14"/>
      <c r="S45" s="14"/>
      <c r="T45" s="14"/>
      <c r="U45" s="14"/>
      <c r="W45" s="49"/>
    </row>
    <row r="46" spans="1:23" ht="19" customHeight="1">
      <c r="A46" s="48"/>
      <c r="L46" s="14"/>
      <c r="M46" s="14"/>
      <c r="N46" s="14"/>
      <c r="O46" s="14"/>
      <c r="P46" s="14"/>
      <c r="Q46" s="14"/>
      <c r="R46" s="14"/>
      <c r="S46" s="14"/>
      <c r="T46" s="14"/>
      <c r="U46" s="14"/>
      <c r="W46" s="49"/>
    </row>
    <row r="47" spans="1:23" ht="19" customHeight="1">
      <c r="A47" s="48"/>
      <c r="L47" s="14"/>
      <c r="M47" s="14"/>
      <c r="N47" s="14"/>
      <c r="O47" s="14"/>
      <c r="P47" s="14"/>
      <c r="Q47" s="14"/>
      <c r="R47" s="14"/>
      <c r="S47" s="14"/>
      <c r="T47" s="14"/>
      <c r="U47" s="14"/>
      <c r="W47" s="49"/>
    </row>
    <row r="48" spans="1:23" ht="19" customHeight="1">
      <c r="A48" s="48"/>
      <c r="L48" s="14"/>
      <c r="M48" s="14"/>
      <c r="N48" s="14"/>
      <c r="O48" s="14"/>
      <c r="P48" s="14"/>
      <c r="Q48" s="14"/>
      <c r="R48" s="14"/>
      <c r="S48" s="14"/>
      <c r="T48" s="14"/>
      <c r="U48" s="14"/>
      <c r="W48" s="49"/>
    </row>
    <row r="49" spans="1:23" ht="19" customHeight="1">
      <c r="A49" s="48"/>
      <c r="L49" s="14"/>
      <c r="M49" s="14"/>
      <c r="N49" s="14"/>
      <c r="O49" s="14"/>
      <c r="P49" s="14"/>
      <c r="Q49" s="14"/>
      <c r="R49" s="14"/>
      <c r="S49" s="14"/>
      <c r="T49" s="14"/>
      <c r="U49" s="14"/>
      <c r="W49" s="49"/>
    </row>
    <row r="50" spans="1:23" ht="19" customHeight="1">
      <c r="A50" s="48"/>
      <c r="L50" s="14"/>
      <c r="M50" s="14"/>
      <c r="N50" s="14"/>
      <c r="O50" s="14"/>
      <c r="P50" s="14"/>
      <c r="Q50" s="14"/>
      <c r="R50" s="14"/>
      <c r="S50" s="14"/>
      <c r="T50" s="14"/>
      <c r="U50" s="14"/>
      <c r="W50" s="49"/>
    </row>
    <row r="51" spans="1:23" ht="19" customHeight="1">
      <c r="A51" s="48"/>
      <c r="L51" s="14"/>
      <c r="M51" s="14"/>
      <c r="N51" s="14"/>
      <c r="O51" s="14"/>
      <c r="P51" s="14"/>
      <c r="Q51" s="14"/>
      <c r="R51" s="14"/>
      <c r="S51" s="14"/>
      <c r="T51" s="14"/>
      <c r="U51" s="14"/>
      <c r="W51" s="49"/>
    </row>
    <row r="52" spans="1:23" ht="19" customHeight="1">
      <c r="A52" s="48"/>
      <c r="L52" s="14"/>
      <c r="M52" s="14"/>
      <c r="N52" s="14"/>
      <c r="O52" s="14"/>
      <c r="P52" s="14"/>
      <c r="Q52" s="14"/>
      <c r="R52" s="14"/>
      <c r="S52" s="14"/>
      <c r="T52" s="14"/>
      <c r="U52" s="14"/>
      <c r="W52" s="49"/>
    </row>
    <row r="53" spans="1:23" ht="19" customHeight="1">
      <c r="A53" s="48"/>
      <c r="L53" s="14"/>
      <c r="M53" s="14"/>
      <c r="N53" s="14"/>
      <c r="O53" s="14"/>
      <c r="P53" s="14"/>
      <c r="Q53" s="14"/>
      <c r="R53" s="14"/>
      <c r="S53" s="14"/>
      <c r="T53" s="14"/>
      <c r="U53" s="14"/>
      <c r="W53" s="49"/>
    </row>
    <row r="54" spans="1:23" ht="19" customHeight="1">
      <c r="A54" s="48"/>
      <c r="L54" s="14"/>
      <c r="M54" s="14"/>
      <c r="N54" s="14"/>
      <c r="O54" s="14"/>
      <c r="P54" s="14"/>
      <c r="Q54" s="14"/>
      <c r="R54" s="14"/>
      <c r="S54" s="14"/>
      <c r="T54" s="14"/>
      <c r="U54" s="14"/>
      <c r="W54" s="49"/>
    </row>
    <row r="55" spans="1:23" ht="19" customHeight="1">
      <c r="A55" s="48"/>
      <c r="L55" s="14"/>
      <c r="M55" s="14"/>
      <c r="N55" s="14"/>
      <c r="O55" s="14"/>
      <c r="P55" s="14"/>
      <c r="Q55" s="14"/>
      <c r="R55" s="14"/>
      <c r="S55" s="14"/>
      <c r="T55" s="14"/>
      <c r="U55" s="14"/>
      <c r="W55" s="49"/>
    </row>
    <row r="56" spans="1:23" ht="19" customHeight="1">
      <c r="A56" s="48"/>
      <c r="L56" s="14"/>
      <c r="M56" s="14"/>
      <c r="N56" s="14"/>
      <c r="O56" s="14"/>
      <c r="P56" s="14"/>
      <c r="Q56" s="14"/>
      <c r="R56" s="14"/>
      <c r="S56" s="14"/>
      <c r="T56" s="14"/>
      <c r="U56" s="14"/>
      <c r="W56" s="49"/>
    </row>
    <row r="57" spans="1:23" ht="19" customHeight="1">
      <c r="A57" s="48"/>
      <c r="L57" s="14"/>
      <c r="M57" s="14"/>
      <c r="N57" s="14"/>
      <c r="O57" s="14"/>
      <c r="P57" s="14"/>
      <c r="Q57" s="14"/>
      <c r="R57" s="14"/>
      <c r="S57" s="14"/>
      <c r="T57" s="14"/>
      <c r="U57" s="14"/>
      <c r="W57" s="49"/>
    </row>
    <row r="58" spans="1:23" ht="19" customHeight="1">
      <c r="A58" s="48"/>
      <c r="L58" s="14"/>
      <c r="M58" s="14"/>
      <c r="N58" s="14"/>
      <c r="O58" s="14"/>
      <c r="P58" s="14"/>
      <c r="Q58" s="14"/>
      <c r="R58" s="14"/>
      <c r="S58" s="14"/>
      <c r="T58" s="14"/>
      <c r="U58" s="14"/>
      <c r="W58" s="49"/>
    </row>
    <row r="59" spans="1:23" ht="19" customHeight="1">
      <c r="A59" s="48"/>
      <c r="L59" s="14"/>
      <c r="M59" s="14"/>
      <c r="N59" s="14"/>
      <c r="O59" s="14"/>
      <c r="P59" s="14"/>
      <c r="Q59" s="14"/>
      <c r="R59" s="14"/>
      <c r="S59" s="14"/>
      <c r="T59" s="14"/>
      <c r="U59" s="14"/>
      <c r="W59" s="49"/>
    </row>
    <row r="60" spans="1:23" ht="19" customHeight="1">
      <c r="A60" s="50"/>
      <c r="B60" s="51"/>
      <c r="C60" s="51"/>
      <c r="D60" s="51"/>
      <c r="E60" s="51"/>
      <c r="F60" s="51"/>
      <c r="G60" s="51"/>
      <c r="H60" s="51"/>
      <c r="I60" s="51"/>
      <c r="J60" s="51"/>
      <c r="K60" s="51"/>
      <c r="L60" s="51"/>
      <c r="M60" s="51"/>
      <c r="N60" s="51"/>
      <c r="O60" s="51"/>
      <c r="P60" s="51"/>
      <c r="Q60" s="51"/>
      <c r="R60" s="51"/>
      <c r="S60" s="51"/>
      <c r="T60" s="51"/>
      <c r="U60" s="51"/>
      <c r="V60" s="52"/>
      <c r="W60" s="53"/>
    </row>
    <row r="61" spans="1:23" ht="19" customHeight="1">
      <c r="A61" s="54"/>
    </row>
  </sheetData>
  <sheetProtection sheet="1" objects="1" scenarios="1"/>
  <mergeCells count="11">
    <mergeCell ref="N5:O5"/>
    <mergeCell ref="P5:Q5"/>
    <mergeCell ref="R5:S5"/>
    <mergeCell ref="T5:U5"/>
    <mergeCell ref="V5:W5"/>
    <mergeCell ref="L5:M5"/>
    <mergeCell ref="B5:C5"/>
    <mergeCell ref="D5:E5"/>
    <mergeCell ref="F5:G5"/>
    <mergeCell ref="H5:I5"/>
    <mergeCell ref="J5:K5"/>
  </mergeCells>
  <phoneticPr fontId="5"/>
  <pageMargins left="0.7" right="0.7" top="0.75" bottom="0.75" header="0.3" footer="0.3"/>
  <pageSetup paperSize="9" scale="3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7FF04-83B3-44EC-871F-7A63FB2D1C2E}">
  <sheetPr>
    <tabColor theme="1"/>
    <pageSetUpPr fitToPage="1"/>
  </sheetPr>
  <dimension ref="A1:S13"/>
  <sheetViews>
    <sheetView showGridLines="0" zoomScale="60" zoomScaleNormal="60" workbookViewId="0">
      <selection activeCell="I21" sqref="I21"/>
    </sheetView>
  </sheetViews>
  <sheetFormatPr defaultColWidth="16.58203125" defaultRowHeight="26" customHeight="1"/>
  <cols>
    <col min="1" max="1" width="12" style="61" bestFit="1" customWidth="1"/>
    <col min="2" max="2" width="47.83203125" style="61" customWidth="1"/>
    <col min="3" max="3" width="18.58203125" style="61" bestFit="1" customWidth="1"/>
    <col min="4" max="16384" width="16.58203125" style="61"/>
  </cols>
  <sheetData>
    <row r="1" spans="1:19" ht="26" customHeight="1">
      <c r="A1" s="60" t="s">
        <v>261</v>
      </c>
      <c r="D1" s="395" t="s">
        <v>265</v>
      </c>
      <c r="E1" s="395"/>
      <c r="F1" s="395"/>
      <c r="G1" s="396"/>
      <c r="H1" s="393" t="s">
        <v>260</v>
      </c>
      <c r="I1" s="394"/>
      <c r="J1" s="394"/>
      <c r="K1" s="394"/>
      <c r="L1" s="394"/>
      <c r="M1" s="394"/>
      <c r="N1" s="394"/>
      <c r="O1" s="394"/>
      <c r="P1" s="394"/>
      <c r="Q1" s="394"/>
      <c r="R1" s="394"/>
      <c r="S1" s="394"/>
    </row>
    <row r="2" spans="1:19" s="62" customFormat="1" ht="26" customHeight="1">
      <c r="D2" s="63" t="s">
        <v>274</v>
      </c>
      <c r="E2" s="63" t="s">
        <v>226</v>
      </c>
      <c r="F2" s="63" t="s">
        <v>234</v>
      </c>
      <c r="G2" s="63" t="s">
        <v>233</v>
      </c>
      <c r="H2" s="64" t="s">
        <v>232</v>
      </c>
      <c r="I2" s="63" t="s">
        <v>235</v>
      </c>
      <c r="J2" s="63" t="s">
        <v>236</v>
      </c>
      <c r="K2" s="63" t="s">
        <v>237</v>
      </c>
      <c r="L2" s="63" t="s">
        <v>238</v>
      </c>
      <c r="M2" s="63" t="s">
        <v>239</v>
      </c>
      <c r="N2" s="63" t="s">
        <v>240</v>
      </c>
      <c r="O2" s="63" t="s">
        <v>241</v>
      </c>
      <c r="P2" s="63" t="s">
        <v>244</v>
      </c>
      <c r="Q2" s="63" t="s">
        <v>245</v>
      </c>
      <c r="R2" s="63" t="s">
        <v>246</v>
      </c>
      <c r="S2" s="63" t="s">
        <v>247</v>
      </c>
    </row>
    <row r="3" spans="1:19" s="62" customFormat="1" ht="26" customHeight="1">
      <c r="H3" s="65"/>
    </row>
    <row r="4" spans="1:19" s="62" customFormat="1" ht="26" customHeight="1">
      <c r="A4" s="397"/>
      <c r="B4" s="66" t="s">
        <v>264</v>
      </c>
      <c r="C4" s="224">
        <f xml:space="preserve"> ('損益計算｜詳細'!O29/12) / '損益計算｜詳細'!O12</f>
        <v>673.56966124475207</v>
      </c>
      <c r="D4" s="67"/>
      <c r="H4" s="65"/>
    </row>
    <row r="5" spans="1:19" ht="26" customHeight="1">
      <c r="A5" s="397"/>
      <c r="B5" s="68" t="s">
        <v>227</v>
      </c>
      <c r="C5" s="68"/>
      <c r="D5" s="68"/>
      <c r="E5" s="69">
        <f>SUM(E7:E8)</f>
        <v>860000</v>
      </c>
      <c r="F5" s="69">
        <f>SUM(F7:F8)</f>
        <v>950000</v>
      </c>
      <c r="G5" s="69">
        <f>SUM(G7:G8)</f>
        <v>1690000</v>
      </c>
      <c r="H5" s="70">
        <f t="shared" ref="H5:P5" si="0">SUM(H7:H8)</f>
        <v>750000</v>
      </c>
      <c r="I5" s="69">
        <f t="shared" si="0"/>
        <v>750000</v>
      </c>
      <c r="J5" s="69">
        <f t="shared" si="0"/>
        <v>750000</v>
      </c>
      <c r="K5" s="69">
        <f t="shared" si="0"/>
        <v>750000</v>
      </c>
      <c r="L5" s="69">
        <f>SUM(L7:L8)</f>
        <v>750000</v>
      </c>
      <c r="M5" s="69">
        <f t="shared" si="0"/>
        <v>750000</v>
      </c>
      <c r="N5" s="69">
        <f t="shared" si="0"/>
        <v>750000</v>
      </c>
      <c r="O5" s="69">
        <f t="shared" si="0"/>
        <v>750000</v>
      </c>
      <c r="P5" s="69">
        <f t="shared" si="0"/>
        <v>750000</v>
      </c>
      <c r="Q5" s="69">
        <f t="shared" ref="Q5" si="1">SUM(Q7:Q8)</f>
        <v>550000</v>
      </c>
      <c r="R5" s="69">
        <f t="shared" ref="R5" si="2">SUM(R7:R8)</f>
        <v>250000</v>
      </c>
      <c r="S5" s="69">
        <f t="shared" ref="S5" si="3">SUM(S7:S8)</f>
        <v>250000</v>
      </c>
    </row>
    <row r="6" spans="1:19" ht="26" customHeight="1">
      <c r="A6" s="397"/>
      <c r="B6" s="228" t="s">
        <v>318</v>
      </c>
      <c r="E6" s="89">
        <v>400000</v>
      </c>
      <c r="F6" s="89">
        <v>50000</v>
      </c>
      <c r="G6" s="89">
        <v>50000</v>
      </c>
      <c r="H6" s="73">
        <f>'損益計算｜詳細'!F37</f>
        <v>50000</v>
      </c>
      <c r="I6" s="72">
        <f>'損益計算｜詳細'!G37</f>
        <v>50000</v>
      </c>
      <c r="J6" s="72">
        <f>'損益計算｜詳細'!H37</f>
        <v>50000</v>
      </c>
      <c r="K6" s="72">
        <f>'損益計算｜詳細'!I37</f>
        <v>50000</v>
      </c>
      <c r="L6" s="72">
        <f>'損益計算｜詳細'!J37</f>
        <v>50000</v>
      </c>
      <c r="M6" s="72">
        <f>'損益計算｜詳細'!K37</f>
        <v>50000</v>
      </c>
      <c r="N6" s="72">
        <f>'損益計算｜詳細'!L37</f>
        <v>50000</v>
      </c>
      <c r="O6" s="72">
        <f>'損益計算｜詳細'!M37</f>
        <v>50000</v>
      </c>
      <c r="P6" s="72">
        <f>'損益計算｜詳細'!N37</f>
        <v>50000</v>
      </c>
      <c r="Q6" s="72">
        <f>'損益計算｜詳細'!O37</f>
        <v>450000</v>
      </c>
      <c r="R6" s="72">
        <f>'損益計算｜詳細'!P37</f>
        <v>50000</v>
      </c>
      <c r="S6" s="72">
        <f>'損益計算｜詳細'!Q37</f>
        <v>50000</v>
      </c>
    </row>
    <row r="7" spans="1:19" ht="26" customHeight="1">
      <c r="A7" s="397"/>
      <c r="B7" s="229" t="s">
        <v>317</v>
      </c>
      <c r="C7" s="71"/>
      <c r="D7" s="71"/>
      <c r="E7" s="89">
        <v>680000</v>
      </c>
      <c r="F7" s="89">
        <v>750000</v>
      </c>
      <c r="G7" s="89">
        <v>1490000</v>
      </c>
      <c r="H7" s="73">
        <f>'損益計算｜詳細'!F38</f>
        <v>600000</v>
      </c>
      <c r="I7" s="72">
        <f>'損益計算｜詳細'!G38</f>
        <v>600000</v>
      </c>
      <c r="J7" s="72">
        <f>'損益計算｜詳細'!H38</f>
        <v>600000</v>
      </c>
      <c r="K7" s="72">
        <f>'損益計算｜詳細'!I38</f>
        <v>600000</v>
      </c>
      <c r="L7" s="72">
        <f>'損益計算｜詳細'!J38</f>
        <v>600000</v>
      </c>
      <c r="M7" s="72">
        <f>'損益計算｜詳細'!K38</f>
        <v>600000</v>
      </c>
      <c r="N7" s="72">
        <f>'損益計算｜詳細'!L38</f>
        <v>600000</v>
      </c>
      <c r="O7" s="72">
        <f>'損益計算｜詳細'!M38</f>
        <v>600000</v>
      </c>
      <c r="P7" s="72">
        <f>'損益計算｜詳細'!N38</f>
        <v>600000</v>
      </c>
      <c r="Q7" s="72">
        <f>'損益計算｜詳細'!P38</f>
        <v>400000</v>
      </c>
      <c r="R7" s="72">
        <f>'損益計算｜詳細'!Q38</f>
        <v>150000</v>
      </c>
      <c r="S7" s="72">
        <f>'損益計算｜詳細'!R38</f>
        <v>150000</v>
      </c>
    </row>
    <row r="8" spans="1:19" ht="26" customHeight="1">
      <c r="A8" s="397"/>
      <c r="B8" s="71" t="s">
        <v>228</v>
      </c>
      <c r="C8" s="71"/>
      <c r="D8" s="71"/>
      <c r="E8" s="90">
        <v>180000</v>
      </c>
      <c r="F8" s="91">
        <v>200000</v>
      </c>
      <c r="G8" s="91">
        <v>200000</v>
      </c>
      <c r="H8" s="73">
        <f>'損益計算｜詳細'!F39</f>
        <v>150000</v>
      </c>
      <c r="I8" s="72">
        <f>'損益計算｜詳細'!G39</f>
        <v>150000</v>
      </c>
      <c r="J8" s="72">
        <f>'損益計算｜詳細'!H39</f>
        <v>150000</v>
      </c>
      <c r="K8" s="72">
        <f>'損益計算｜詳細'!I39</f>
        <v>150000</v>
      </c>
      <c r="L8" s="72">
        <f>'損益計算｜詳細'!J39</f>
        <v>150000</v>
      </c>
      <c r="M8" s="72">
        <f>'損益計算｜詳細'!K39</f>
        <v>150000</v>
      </c>
      <c r="N8" s="72">
        <f>'損益計算｜詳細'!L39</f>
        <v>150000</v>
      </c>
      <c r="O8" s="72">
        <f>'損益計算｜詳細'!M39</f>
        <v>150000</v>
      </c>
      <c r="P8" s="72">
        <f>'損益計算｜詳細'!N39</f>
        <v>150000</v>
      </c>
      <c r="Q8" s="72">
        <f>'損益計算｜詳細'!P39</f>
        <v>150000</v>
      </c>
      <c r="R8" s="72">
        <f>'損益計算｜詳細'!Q39</f>
        <v>100000</v>
      </c>
      <c r="S8" s="72">
        <f>'損益計算｜詳細'!R39</f>
        <v>100000</v>
      </c>
    </row>
    <row r="9" spans="1:19" ht="26" customHeight="1">
      <c r="A9" s="397"/>
      <c r="B9" s="74" t="s">
        <v>242</v>
      </c>
      <c r="C9" s="74"/>
      <c r="D9" s="74"/>
      <c r="E9" s="75"/>
      <c r="F9" s="75">
        <f>SUM(E10,F10)</f>
        <v>517.6</v>
      </c>
      <c r="G9" s="75">
        <f>SUM(F9,G10)</f>
        <v>683.2</v>
      </c>
      <c r="H9" s="76">
        <f t="shared" ref="H9:P9" si="4">SUM(G9,H10)</f>
        <v>735.2</v>
      </c>
      <c r="I9" s="75">
        <f t="shared" si="4"/>
        <v>799.2</v>
      </c>
      <c r="J9" s="75">
        <f t="shared" si="4"/>
        <v>864</v>
      </c>
      <c r="K9" s="75">
        <f t="shared" si="4"/>
        <v>896.8</v>
      </c>
      <c r="L9" s="75">
        <f t="shared" si="4"/>
        <v>984</v>
      </c>
      <c r="M9" s="75">
        <f t="shared" si="4"/>
        <v>1053.5999999999999</v>
      </c>
      <c r="N9" s="75">
        <f t="shared" si="4"/>
        <v>1107.1999999999998</v>
      </c>
      <c r="O9" s="75">
        <f t="shared" si="4"/>
        <v>1146.3999999999999</v>
      </c>
      <c r="P9" s="75">
        <f t="shared" si="4"/>
        <v>1170.3999999999999</v>
      </c>
      <c r="Q9" s="75">
        <f t="shared" ref="Q9" si="5">SUM(P9,Q10)</f>
        <v>1271.1999999999998</v>
      </c>
      <c r="R9" s="75">
        <f t="shared" ref="R9" si="6">SUM(Q9,R10)</f>
        <v>1315.9999999999998</v>
      </c>
      <c r="S9" s="75">
        <f t="shared" ref="S9" si="7">SUM(R9,S10)</f>
        <v>1378.3999999999999</v>
      </c>
    </row>
    <row r="10" spans="1:19" ht="26" customHeight="1">
      <c r="A10" s="397"/>
      <c r="B10" s="77" t="s">
        <v>243</v>
      </c>
      <c r="C10" s="77"/>
      <c r="D10" s="77"/>
      <c r="E10" s="78">
        <f>SUM('損益計算｜詳細'!C6,'損益計算｜詳細'!C9)</f>
        <v>341.6</v>
      </c>
      <c r="F10" s="78">
        <f>SUM('損益計算｜詳細'!D6,'損益計算｜詳細'!D9)</f>
        <v>176</v>
      </c>
      <c r="G10" s="78">
        <f>SUM('損益計算｜詳細'!E6,'損益計算｜詳細'!E9)</f>
        <v>165.60000000000002</v>
      </c>
      <c r="H10" s="79">
        <f>SUM('損益計算｜詳細'!F6,'損益計算｜詳細'!F9)</f>
        <v>52</v>
      </c>
      <c r="I10" s="78">
        <f>SUM('損益計算｜詳細'!G6,'損益計算｜詳細'!G9)</f>
        <v>64</v>
      </c>
      <c r="J10" s="78">
        <f>SUM('損益計算｜詳細'!H6,'損益計算｜詳細'!H9)</f>
        <v>64.8</v>
      </c>
      <c r="K10" s="78">
        <f>SUM('損益計算｜詳細'!I6,'損益計算｜詳細'!I9)</f>
        <v>32.800000000000004</v>
      </c>
      <c r="L10" s="78">
        <f>SUM('損益計算｜詳細'!J6,'損益計算｜詳細'!J9)</f>
        <v>87.2</v>
      </c>
      <c r="M10" s="78">
        <f>SUM('損益計算｜詳細'!K6,'損益計算｜詳細'!K9)</f>
        <v>69.600000000000009</v>
      </c>
      <c r="N10" s="78">
        <f>SUM('損益計算｜詳細'!L6,'損益計算｜詳細'!L9)</f>
        <v>53.6</v>
      </c>
      <c r="O10" s="78">
        <f>SUM('損益計算｜詳細'!M6,'損益計算｜詳細'!M9)</f>
        <v>39.200000000000003</v>
      </c>
      <c r="P10" s="78">
        <f>SUM('損益計算｜詳細'!N6,'損益計算｜詳細'!N9)</f>
        <v>24</v>
      </c>
      <c r="Q10" s="78">
        <f>SUM('損益計算｜詳細'!P6,'損益計算｜詳細'!P9)</f>
        <v>100.80000000000001</v>
      </c>
      <c r="R10" s="78">
        <f>SUM('損益計算｜詳細'!Q6,'損益計算｜詳細'!Q9)</f>
        <v>44.800000000000004</v>
      </c>
      <c r="S10" s="78">
        <f>SUM('損益計算｜詳細'!R6,'損益計算｜詳細'!R9)</f>
        <v>62.400000000000006</v>
      </c>
    </row>
    <row r="11" spans="1:19" ht="26" customHeight="1">
      <c r="A11" s="397"/>
      <c r="B11" s="77" t="s">
        <v>229</v>
      </c>
      <c r="C11" s="77"/>
      <c r="D11" s="77"/>
      <c r="E11" s="80">
        <f>E5/E10</f>
        <v>2517.5644028103043</v>
      </c>
      <c r="F11" s="80">
        <f>F5/F10</f>
        <v>5397.727272727273</v>
      </c>
      <c r="G11" s="80">
        <f>G5/G10</f>
        <v>10205.314009661834</v>
      </c>
      <c r="H11" s="81">
        <f t="shared" ref="H11:S11" si="8">H5/H10</f>
        <v>14423.076923076924</v>
      </c>
      <c r="I11" s="80">
        <f t="shared" si="8"/>
        <v>11718.75</v>
      </c>
      <c r="J11" s="80">
        <f t="shared" si="8"/>
        <v>11574.074074074075</v>
      </c>
      <c r="K11" s="80">
        <f t="shared" si="8"/>
        <v>22865.853658536584</v>
      </c>
      <c r="L11" s="80">
        <f t="shared" si="8"/>
        <v>8600.9174311926599</v>
      </c>
      <c r="M11" s="80">
        <f t="shared" si="8"/>
        <v>10775.862068965516</v>
      </c>
      <c r="N11" s="80">
        <f t="shared" si="8"/>
        <v>13992.537313432835</v>
      </c>
      <c r="O11" s="80">
        <f t="shared" si="8"/>
        <v>19132.65306122449</v>
      </c>
      <c r="P11" s="80">
        <f t="shared" si="8"/>
        <v>31250</v>
      </c>
      <c r="Q11" s="80">
        <f t="shared" si="8"/>
        <v>5456.3492063492058</v>
      </c>
      <c r="R11" s="80">
        <f t="shared" si="8"/>
        <v>5580.3571428571422</v>
      </c>
      <c r="S11" s="80">
        <f t="shared" si="8"/>
        <v>4006.4102564102559</v>
      </c>
    </row>
    <row r="12" spans="1:19" ht="26" customHeight="1">
      <c r="A12" s="397"/>
      <c r="B12" s="77" t="s">
        <v>262</v>
      </c>
      <c r="C12" s="77"/>
      <c r="D12" s="77"/>
      <c r="E12" s="80"/>
      <c r="F12" s="80"/>
      <c r="G12" s="82">
        <f>SUM(E5:G5)/G9</f>
        <v>5122.9508196721308</v>
      </c>
      <c r="H12" s="83"/>
      <c r="I12" s="80"/>
      <c r="J12" s="80"/>
      <c r="K12" s="80"/>
      <c r="L12" s="80"/>
      <c r="M12" s="80"/>
      <c r="N12" s="80"/>
      <c r="O12" s="80"/>
      <c r="P12" s="80"/>
      <c r="Q12" s="84"/>
      <c r="R12" s="85" t="s">
        <v>263</v>
      </c>
      <c r="S12" s="82">
        <f>SUM(H5:S5)/SUM(H10:S10)</f>
        <v>11219.792865362486</v>
      </c>
    </row>
    <row r="13" spans="1:19" ht="26" customHeight="1">
      <c r="A13" s="397"/>
      <c r="B13" s="77" t="s">
        <v>275</v>
      </c>
      <c r="C13" s="77"/>
      <c r="D13" s="77"/>
      <c r="E13" s="86">
        <f>E10/$C$4</f>
        <v>0.50714873257314708</v>
      </c>
      <c r="F13" s="86">
        <f>F9/$C$4</f>
        <v>0.76844316153355063</v>
      </c>
      <c r="G13" s="86">
        <f t="shared" ref="G13:I13" si="9">G9/$C$4</f>
        <v>1.0142974651462942</v>
      </c>
      <c r="H13" s="87">
        <f t="shared" si="9"/>
        <v>1.0914980918845951</v>
      </c>
      <c r="I13" s="86">
        <f t="shared" si="9"/>
        <v>1.1865142478701964</v>
      </c>
      <c r="J13" s="86">
        <f>J9/$C$4</f>
        <v>1.2827181058056178</v>
      </c>
      <c r="K13" s="88"/>
      <c r="L13" s="88"/>
      <c r="M13" s="88"/>
      <c r="N13" s="88"/>
      <c r="O13" s="88"/>
      <c r="P13" s="88"/>
      <c r="Q13" s="88"/>
      <c r="R13" s="88"/>
      <c r="S13" s="88"/>
    </row>
  </sheetData>
  <sheetProtection sheet="1" objects="1" scenarios="1"/>
  <mergeCells count="3">
    <mergeCell ref="H1:S1"/>
    <mergeCell ref="D1:G1"/>
    <mergeCell ref="A4:A13"/>
  </mergeCells>
  <phoneticPr fontId="5"/>
  <conditionalFormatting sqref="E13:J13">
    <cfRule type="cellIs" dxfId="0" priority="3" operator="greaterThan">
      <formula>1</formula>
    </cfRule>
  </conditionalFormatting>
  <pageMargins left="0.7" right="0.7" top="0.75" bottom="0.75" header="0.3" footer="0.3"/>
  <pageSetup paperSize="9" scale="36"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0da23a0-ce03-4ec7-b3ff-ee38310819a1" xsi:nil="true"/>
    <lcf76f155ced4ddcb4097134ff3c332f xmlns="c7e8db1e-73e8-4fbd-b345-9bf4e9ea003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5756E658485E4F8B7ACB88E07C2643" ma:contentTypeVersion="14" ma:contentTypeDescription="新しいドキュメントを作成します。" ma:contentTypeScope="" ma:versionID="bd55f4aa3a89b43b687c6cfaa0a32ffe">
  <xsd:schema xmlns:xsd="http://www.w3.org/2001/XMLSchema" xmlns:xs="http://www.w3.org/2001/XMLSchema" xmlns:p="http://schemas.microsoft.com/office/2006/metadata/properties" xmlns:ns2="c7e8db1e-73e8-4fbd-b345-9bf4e9ea0031" xmlns:ns3="20da23a0-ce03-4ec7-b3ff-ee38310819a1" targetNamespace="http://schemas.microsoft.com/office/2006/metadata/properties" ma:root="true" ma:fieldsID="a3292acae128241763d3e38bc8cb9001" ns2:_="" ns3:_="">
    <xsd:import namespace="c7e8db1e-73e8-4fbd-b345-9bf4e9ea0031"/>
    <xsd:import namespace="20da23a0-ce03-4ec7-b3ff-ee38310819a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e8db1e-73e8-4fbd-b345-9bf4e9ea00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d76197a-c0bf-4ae6-ac14-4191bb8feb1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da23a0-ce03-4ec7-b3ff-ee38310819a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b7fdd90-2e35-4798-b2bb-9238bcc44bcc}" ma:internalName="TaxCatchAll" ma:showField="CatchAllData" ma:web="20da23a0-ce03-4ec7-b3ff-ee38310819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45F38A-1BE2-492F-A876-B82E53F7F2AA}">
  <ds:schemaRefs>
    <ds:schemaRef ds:uri="http://schemas.microsoft.com/sharepoint/v3/contenttype/forms"/>
  </ds:schemaRefs>
</ds:datastoreItem>
</file>

<file path=customXml/itemProps2.xml><?xml version="1.0" encoding="utf-8"?>
<ds:datastoreItem xmlns:ds="http://schemas.openxmlformats.org/officeDocument/2006/customXml" ds:itemID="{399D81DC-67E9-4C5B-9EE4-831F44D5DB05}">
  <ds:schemaRefs>
    <ds:schemaRef ds:uri="http://purl.org/dc/elements/1.1/"/>
    <ds:schemaRef ds:uri="http://purl.org/dc/terms/"/>
    <ds:schemaRef ds:uri="c7e8db1e-73e8-4fbd-b345-9bf4e9ea0031"/>
    <ds:schemaRef ds:uri="http://schemas.microsoft.com/office/2006/documentManagement/types"/>
    <ds:schemaRef ds:uri="20da23a0-ce03-4ec7-b3ff-ee38310819a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CF8C922D-8E6C-405B-866D-E7FF1ED64EF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各種シミュレーション</vt:lpstr>
      <vt:lpstr>投資概要</vt:lpstr>
      <vt:lpstr>損益計算｜詳細</vt:lpstr>
      <vt:lpstr>損益計算｜概要【年次】</vt:lpstr>
      <vt:lpstr>損益計算｜概要【月次平均】</vt:lpstr>
      <vt:lpstr>集客計画</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田中修平</dc:creator>
  <cp:keywords/>
  <dc:description/>
  <cp:lastModifiedBy>田中修平</cp:lastModifiedBy>
  <cp:revision/>
  <cp:lastPrinted>2025-11-13T09:11:00Z</cp:lastPrinted>
  <dcterms:created xsi:type="dcterms:W3CDTF">2021-11-21T06:14:25Z</dcterms:created>
  <dcterms:modified xsi:type="dcterms:W3CDTF">2025-12-15T06:53:26Z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0x0101007E5756E658485E4F8B7ACB88E07C2643</vt:lpwstr>
  </property>
  <property fmtid="{D5CDD505-2E9C-101B-9397-08002B2CF9AE}" pid="3" name="MediaServiceImageTags">
    <vt:lpwstr/>
  </property>
</Properties>
</file>